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1" activeTab="1"/>
  </bookViews>
  <sheets>
    <sheet name="2021_11 мес_Доходы_Расходы" sheetId="1" state="hidden" r:id="rId1"/>
    <sheet name="2024_Доходы" sheetId="4" r:id="rId2"/>
    <sheet name="2024_Расходы" sheetId="2" r:id="rId3"/>
    <sheet name="ФЭО ЧлВзн_2024" sheetId="8" r:id="rId4"/>
    <sheet name="Расчет ФОТ_2024" sheetId="5" r:id="rId5"/>
    <sheet name="ШР_2024" sheetId="6" r:id="rId6"/>
    <sheet name="Примечания к ШР_2024" sheetId="7" r:id="rId7"/>
  </sheets>
  <definedNames>
    <definedName name="_GoBack" localSheetId="0">'2021_11 мес_Доходы_Расходы'!$B$13</definedName>
    <definedName name="_xlnm._FilterDatabase" localSheetId="0" hidden="1">'2021_11 мес_Доходы_Расходы'!#REF!</definedName>
    <definedName name="_xlnm._FilterDatabase" localSheetId="2" hidden="1">'2024_Расходы'!$A$8:$N$53</definedName>
  </definedNames>
  <calcPr calcId="125725"/>
</workbook>
</file>

<file path=xl/calcChain.xml><?xml version="1.0" encoding="utf-8"?>
<calcChain xmlns="http://schemas.openxmlformats.org/spreadsheetml/2006/main">
  <c r="D50" i="8"/>
  <c r="D45"/>
  <c r="D36"/>
  <c r="F38" i="2"/>
  <c r="F47"/>
  <c r="E46" i="8" l="1"/>
  <c r="D46"/>
  <c r="E41"/>
  <c r="D41"/>
  <c r="D39"/>
  <c r="E38"/>
  <c r="D35"/>
  <c r="E35"/>
  <c r="E20"/>
  <c r="D20"/>
  <c r="E15"/>
  <c r="D15"/>
  <c r="E12"/>
  <c r="D12"/>
  <c r="D11"/>
  <c r="E7"/>
  <c r="D7"/>
  <c r="E50" l="1"/>
  <c r="D38"/>
  <c r="D51" s="1"/>
  <c r="J28" i="5"/>
  <c r="F13" i="2"/>
  <c r="G40" l="1"/>
  <c r="H40"/>
  <c r="K40"/>
  <c r="L40"/>
  <c r="F43"/>
  <c r="G43"/>
  <c r="H43"/>
  <c r="I43"/>
  <c r="K43"/>
  <c r="L43"/>
  <c r="F48"/>
  <c r="G48"/>
  <c r="H48"/>
  <c r="I48"/>
  <c r="K48"/>
  <c r="L48"/>
  <c r="J27" i="6" l="1"/>
  <c r="I27"/>
  <c r="H27"/>
  <c r="F27"/>
  <c r="E26"/>
  <c r="G26" s="1"/>
  <c r="E25"/>
  <c r="G25" s="1"/>
  <c r="G24"/>
  <c r="E24"/>
  <c r="E23"/>
  <c r="G23" s="1"/>
  <c r="E22"/>
  <c r="G22" s="1"/>
  <c r="E21"/>
  <c r="G21" s="1"/>
  <c r="E20"/>
  <c r="G20" s="1"/>
  <c r="K19"/>
  <c r="G19"/>
  <c r="L19" s="1"/>
  <c r="N19" s="1"/>
  <c r="E19"/>
  <c r="E18"/>
  <c r="G18" s="1"/>
  <c r="E17"/>
  <c r="G17" s="1"/>
  <c r="G16"/>
  <c r="E16"/>
  <c r="E15"/>
  <c r="G15" s="1"/>
  <c r="E13"/>
  <c r="E14" s="1"/>
  <c r="G14" s="1"/>
  <c r="K11"/>
  <c r="G11"/>
  <c r="L11" s="1"/>
  <c r="N11" s="1"/>
  <c r="E11"/>
  <c r="E10"/>
  <c r="E12" s="1"/>
  <c r="K26" l="1"/>
  <c r="L26" s="1"/>
  <c r="N26" s="1"/>
  <c r="K21"/>
  <c r="L21" s="1"/>
  <c r="N21" s="1"/>
  <c r="K14"/>
  <c r="L14" s="1"/>
  <c r="N14" s="1"/>
  <c r="L15"/>
  <c r="N15" s="1"/>
  <c r="K15"/>
  <c r="K22"/>
  <c r="L22" s="1"/>
  <c r="N22" s="1"/>
  <c r="K18"/>
  <c r="L18" s="1"/>
  <c r="N18" s="1"/>
  <c r="K25"/>
  <c r="L25"/>
  <c r="N25" s="1"/>
  <c r="K20"/>
  <c r="L20" s="1"/>
  <c r="N20" s="1"/>
  <c r="E27"/>
  <c r="G12"/>
  <c r="K17"/>
  <c r="L17" s="1"/>
  <c r="N17" s="1"/>
  <c r="K23"/>
  <c r="L23" s="1"/>
  <c r="N23" s="1"/>
  <c r="G13"/>
  <c r="K16"/>
  <c r="L16" s="1"/>
  <c r="N16" s="1"/>
  <c r="K24"/>
  <c r="L24" s="1"/>
  <c r="N24" s="1"/>
  <c r="G10"/>
  <c r="K10" l="1"/>
  <c r="K12"/>
  <c r="L12" s="1"/>
  <c r="N12" s="1"/>
  <c r="G27"/>
  <c r="K13"/>
  <c r="L13" s="1"/>
  <c r="N13" s="1"/>
  <c r="K27" l="1"/>
  <c r="L10"/>
  <c r="L27" l="1"/>
  <c r="N10"/>
  <c r="N27" s="1"/>
  <c r="J18" i="5" l="1"/>
  <c r="J20" s="1"/>
  <c r="D47" i="2"/>
  <c r="D45"/>
  <c r="D38"/>
  <c r="D49"/>
  <c r="D11"/>
  <c r="D10"/>
  <c r="J13" i="5"/>
  <c r="J12"/>
  <c r="I41" i="2"/>
  <c r="I40" s="1"/>
  <c r="F41"/>
  <c r="D13"/>
  <c r="D33"/>
  <c r="D29"/>
  <c r="G9"/>
  <c r="H9"/>
  <c r="I9"/>
  <c r="K9"/>
  <c r="L9"/>
  <c r="G37"/>
  <c r="H37"/>
  <c r="I37"/>
  <c r="K37"/>
  <c r="L37"/>
  <c r="G22"/>
  <c r="I22"/>
  <c r="K22"/>
  <c r="L22"/>
  <c r="D35"/>
  <c r="D36"/>
  <c r="D39"/>
  <c r="D44"/>
  <c r="F17"/>
  <c r="G17"/>
  <c r="H17"/>
  <c r="I17"/>
  <c r="K17"/>
  <c r="L17"/>
  <c r="G14"/>
  <c r="H14"/>
  <c r="I14"/>
  <c r="K14"/>
  <c r="L14"/>
  <c r="D46"/>
  <c r="D27"/>
  <c r="D12"/>
  <c r="D50"/>
  <c r="D51"/>
  <c r="D16"/>
  <c r="D18"/>
  <c r="D19"/>
  <c r="D20"/>
  <c r="D21"/>
  <c r="D23"/>
  <c r="D24"/>
  <c r="D25"/>
  <c r="D26"/>
  <c r="D28"/>
  <c r="D31"/>
  <c r="D32"/>
  <c r="D34"/>
  <c r="F14"/>
  <c r="D43" l="1"/>
  <c r="D48"/>
  <c r="H22"/>
  <c r="H52" s="1"/>
  <c r="L52"/>
  <c r="J25" i="5"/>
  <c r="J26"/>
  <c r="J23"/>
  <c r="J24"/>
  <c r="I52" i="2"/>
  <c r="D41"/>
  <c r="F40"/>
  <c r="F9"/>
  <c r="D42"/>
  <c r="F37"/>
  <c r="F52" s="1"/>
  <c r="F22"/>
  <c r="K52"/>
  <c r="G52"/>
  <c r="D22"/>
  <c r="D37"/>
  <c r="D9"/>
  <c r="D17"/>
  <c r="D15"/>
  <c r="D14" s="1"/>
  <c r="E12"/>
  <c r="E49"/>
  <c r="E48" s="1"/>
  <c r="E24"/>
  <c r="E28"/>
  <c r="E36"/>
  <c r="E44"/>
  <c r="E45"/>
  <c r="E32"/>
  <c r="E47"/>
  <c r="E13"/>
  <c r="E34"/>
  <c r="E16"/>
  <c r="E20"/>
  <c r="E18"/>
  <c r="E43" l="1"/>
  <c r="J22" i="5"/>
  <c r="D40" i="2"/>
  <c r="F53"/>
  <c r="E15"/>
  <c r="E14" s="1"/>
  <c r="C17" i="4"/>
  <c r="C18" s="1"/>
  <c r="D17"/>
  <c r="E11" i="2"/>
  <c r="E10"/>
  <c r="E33"/>
  <c r="J33" s="1"/>
  <c r="E23"/>
  <c r="J12"/>
  <c r="J16"/>
  <c r="J18"/>
  <c r="J20"/>
  <c r="J44"/>
  <c r="E39"/>
  <c r="E30"/>
  <c r="E27"/>
  <c r="J27" s="1"/>
  <c r="E19"/>
  <c r="J19" s="1"/>
  <c r="E42"/>
  <c r="E40" s="1"/>
  <c r="F27" i="1"/>
  <c r="F28"/>
  <c r="F30"/>
  <c r="F31"/>
  <c r="F32"/>
  <c r="F33"/>
  <c r="F34"/>
  <c r="F35"/>
  <c r="F38"/>
  <c r="F39"/>
  <c r="F41"/>
  <c r="F42"/>
  <c r="F43"/>
  <c r="F44"/>
  <c r="F46"/>
  <c r="F48"/>
  <c r="F51"/>
  <c r="F54"/>
  <c r="F55"/>
  <c r="F56"/>
  <c r="F57"/>
  <c r="F25"/>
  <c r="D58"/>
  <c r="E58" s="1"/>
  <c r="D29"/>
  <c r="E29" s="1"/>
  <c r="D9"/>
  <c r="E27"/>
  <c r="E28"/>
  <c r="E30"/>
  <c r="E31"/>
  <c r="E32"/>
  <c r="E33"/>
  <c r="E34"/>
  <c r="E35"/>
  <c r="E38"/>
  <c r="E39"/>
  <c r="E42"/>
  <c r="E43"/>
  <c r="E44"/>
  <c r="E46"/>
  <c r="E48"/>
  <c r="E51"/>
  <c r="E54"/>
  <c r="E55"/>
  <c r="E56"/>
  <c r="E57"/>
  <c r="E25"/>
  <c r="E41"/>
  <c r="D47"/>
  <c r="D40"/>
  <c r="E40" s="1"/>
  <c r="D37"/>
  <c r="E37" s="1"/>
  <c r="D26"/>
  <c r="E26" s="1"/>
  <c r="D53"/>
  <c r="E53" s="1"/>
  <c r="D50"/>
  <c r="E50" s="1"/>
  <c r="D49"/>
  <c r="E49" s="1"/>
  <c r="D45"/>
  <c r="D36"/>
  <c r="E36" s="1"/>
  <c r="C9"/>
  <c r="C52"/>
  <c r="F52" s="1"/>
  <c r="C47"/>
  <c r="C45"/>
  <c r="E45" s="1"/>
  <c r="E52" l="1"/>
  <c r="F47"/>
  <c r="F45"/>
  <c r="E9" i="2"/>
  <c r="E22"/>
  <c r="E17"/>
  <c r="J17"/>
  <c r="J45"/>
  <c r="J43" s="1"/>
  <c r="J34"/>
  <c r="J11"/>
  <c r="J39"/>
  <c r="J30"/>
  <c r="J49"/>
  <c r="J48" s="1"/>
  <c r="J15"/>
  <c r="J14" s="1"/>
  <c r="E38"/>
  <c r="E37" s="1"/>
  <c r="J28"/>
  <c r="J42"/>
  <c r="J40" s="1"/>
  <c r="J46"/>
  <c r="J36"/>
  <c r="J10"/>
  <c r="J9" s="1"/>
  <c r="J13"/>
  <c r="J24"/>
  <c r="J47"/>
  <c r="E47" i="1"/>
  <c r="F53"/>
  <c r="F49"/>
  <c r="F37"/>
  <c r="F29"/>
  <c r="F58"/>
  <c r="F50"/>
  <c r="F26"/>
  <c r="F40"/>
  <c r="F36"/>
  <c r="D59"/>
  <c r="E10"/>
  <c r="E11"/>
  <c r="E12"/>
  <c r="E13"/>
  <c r="E14"/>
  <c r="E15"/>
  <c r="E16"/>
  <c r="E17"/>
  <c r="E9"/>
  <c r="F10"/>
  <c r="F11"/>
  <c r="F12"/>
  <c r="F13"/>
  <c r="F14"/>
  <c r="F15"/>
  <c r="F16"/>
  <c r="F17"/>
  <c r="C59"/>
  <c r="F9"/>
  <c r="C18"/>
  <c r="E52" i="2" l="1"/>
  <c r="J22"/>
  <c r="J38"/>
  <c r="J37" s="1"/>
  <c r="F59" i="1"/>
  <c r="D18"/>
  <c r="F18" s="1"/>
  <c r="E59"/>
  <c r="J52" i="2" l="1"/>
  <c r="E18" i="1"/>
</calcChain>
</file>

<file path=xl/comments1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<sst xmlns="http://schemas.openxmlformats.org/spreadsheetml/2006/main" count="387" uniqueCount="254">
  <si>
    <t>1.  Приход    Товарищества</t>
  </si>
  <si>
    <t>Примечание</t>
  </si>
  <si>
    <t>Статьи поступления</t>
  </si>
  <si>
    <t xml:space="preserve">              ВСЕГО</t>
  </si>
  <si>
    <t xml:space="preserve">Приложение № _  к протоколу собрания
Утверждена решением
собрания СНТСН «Тихие зори» от 00.00.2021г
Протокол собрания  п._
</t>
  </si>
  <si>
    <t>Общая площадь земельных участков собственников, кв.м</t>
  </si>
  <si>
    <t xml:space="preserve">2.   Основные  расходы,  необходимые для  деятельности  Товарищества                                      </t>
  </si>
  <si>
    <t>Статьи расходов</t>
  </si>
  <si>
    <t xml:space="preserve">Оплата садоводов за эл/ энергию </t>
  </si>
  <si>
    <t>Добровольное пожертвование,</t>
  </si>
  <si>
    <t>Аренда земельного участка для ПАО МТС</t>
  </si>
  <si>
    <t>№ п/п</t>
  </si>
  <si>
    <t xml:space="preserve">Заработная плата начисленная  </t>
  </si>
  <si>
    <t>Налоги, взносы с з/платы</t>
  </si>
  <si>
    <t>Фонд вознаграждения</t>
  </si>
  <si>
    <t>Земельный налог и УСН</t>
  </si>
  <si>
    <t>Оплата за электроэнергию садоводов</t>
  </si>
  <si>
    <t>Технологические потери садоводов 5%  от трансформаторной подстанции</t>
  </si>
  <si>
    <t>РКО, услуги банка</t>
  </si>
  <si>
    <t>Проведение собрания(уведомление, аренда помещения), затраты на проведения очно-заочного собрания, оплата за подписание бюллетеней по договору-подряда</t>
  </si>
  <si>
    <t>Подача объявлений в СМИ.</t>
  </si>
  <si>
    <t>Почтовые расходы</t>
  </si>
  <si>
    <t>Связь стационарная              (ком. 47)</t>
  </si>
  <si>
    <t>Связь сотовая</t>
  </si>
  <si>
    <t>Затраты на судебные иски, юридические услуги и судебные выплаты, разработка правовых документов</t>
  </si>
  <si>
    <t xml:space="preserve">Канцелярские товары </t>
  </si>
  <si>
    <t>Административные расходы (баннеры, информационные  щиты, картриджи, приобретение принтера, ремонт)</t>
  </si>
  <si>
    <t>Аренда помещения (ком.47)</t>
  </si>
  <si>
    <t>Аренда автомобиля + расходы на ГСМ</t>
  </si>
  <si>
    <t>Оплата за электроэнергию общего пользования с учетом технологических потерь</t>
  </si>
  <si>
    <t xml:space="preserve">Мероприятия технической эксплуатации и реконструкции электрохозяйства (в т.ч. замена 40 опор,  замена провода АС на СИП , материалы., </t>
  </si>
  <si>
    <t>Контроль электроэнергии и  установка на электросчетчиках  садоводов антимагнитных  пломб по договор-подряду</t>
  </si>
  <si>
    <t>Ремонт водопровода собственников.Замена водопровода на участках собственников ,Содержание общего водопровода: (задвижки, электроды, диски, спец. одежда, приобретение насоса),услуги сварщика.Оформление договора на водопользование по забору вод из реки Обь и расчет заявленного объема забора водных ресурсов, размера платы за пользование ,водным объектом</t>
  </si>
  <si>
    <t xml:space="preserve">Содержание дорог в зимнее время </t>
  </si>
  <si>
    <t xml:space="preserve">Содержание дорог в летнее время   </t>
  </si>
  <si>
    <t xml:space="preserve">Отсыпка дорог щебнем и отсевом </t>
  </si>
  <si>
    <t xml:space="preserve">Очистка обводного канала  </t>
  </si>
  <si>
    <t>Противопожарные мероприятия(зарядка огнетушителей, вспашка противопожарной полосы за ограждением со стороны реки)</t>
  </si>
  <si>
    <t>Обслуживание и ремонт камер видеонаблюдения на 1,4, 5, 10,15,19 и 21 кварталах, громкоговорящей связи, шлагбаума, АСКУЭ, замена камер</t>
  </si>
  <si>
    <t xml:space="preserve">Содержание дома сторожа </t>
  </si>
  <si>
    <t xml:space="preserve">Обрезка и уборка кустарников и деревьев на землях общего пользования и веток за пределами ограждения участков. </t>
  </si>
  <si>
    <t>Обслуживание сайта, орг.техники, программного обеспечения 1С,  интернета</t>
  </si>
  <si>
    <t>Вывоз ТБО, содержание площадок для контейнеров ( 357 контейнеров х 10 м.куб. х 420 руб.</t>
  </si>
  <si>
    <t>Очистка мусора вокруг территории товарищества (покос травы, уборка хвороста)</t>
  </si>
  <si>
    <t>Благоустройство главных дорог (покос травы)</t>
  </si>
  <si>
    <t xml:space="preserve">Плановое поступление ДС 2021 </t>
  </si>
  <si>
    <t>Фактическое поступление ДС</t>
  </si>
  <si>
    <t xml:space="preserve">Членский взнос 2021г. за одну  сотку  с 01.01.2021 до 31.08.2021 г-1100 руб.; с  01.09.2021 до 31.12.2021 г-  1300 руб.  </t>
  </si>
  <si>
    <t>% исполнения бюджета</t>
  </si>
  <si>
    <t>Примечания</t>
  </si>
  <si>
    <t>Утверждено собранием</t>
  </si>
  <si>
    <t>Фактические расходы</t>
  </si>
  <si>
    <t>Отклонения от бюджета ( руб)</t>
  </si>
  <si>
    <t>Отклонения     (+; -), руб.</t>
  </si>
  <si>
    <t>ВСЕГО РАСХОДЫ</t>
  </si>
  <si>
    <t>Господдержка</t>
  </si>
  <si>
    <t>Пеня по задолженности за предыдущие периоды</t>
  </si>
  <si>
    <t>Целевой взнос на табличку</t>
  </si>
  <si>
    <t>Целевой взнос на трубу</t>
  </si>
  <si>
    <t>Целевой взнос на хомут</t>
  </si>
  <si>
    <t>ИСПОЛНЕНИЕ БЮДЖЕТА ЗА 11 МЕС.2021 ГОДА</t>
  </si>
  <si>
    <t>Непредвиденные расходы (Содержание детской игровой площадки)</t>
  </si>
  <si>
    <t>Членски взносы 2021 г+судебный иск</t>
  </si>
  <si>
    <t>Корректировка сметы расходов (Правление от 20.12.2021)</t>
  </si>
  <si>
    <t>Бухгалтер ________________________</t>
  </si>
  <si>
    <t>Т.А.Фомина</t>
  </si>
  <si>
    <t>Канцелярские товары +хозрасходы офиса</t>
  </si>
  <si>
    <t>Председатель правления                                                              Н.П.Перебоев</t>
  </si>
  <si>
    <t>Целевой взнос</t>
  </si>
  <si>
    <t xml:space="preserve">ИТОГО БАЛАНС , руб </t>
  </si>
  <si>
    <t>ПРИМЕЧАНИЯ</t>
  </si>
  <si>
    <t xml:space="preserve">Заработная плата начисленная, по штатному расписанию </t>
  </si>
  <si>
    <t>За счет членского взноса (ФЭО членского взноса)</t>
  </si>
  <si>
    <t>Благотворительность</t>
  </si>
  <si>
    <t>Электроэнергия</t>
  </si>
  <si>
    <t xml:space="preserve">ЗАКРЫТИЕ РАСХОДОВ ПО НАПРАВЛЕНИЯМ </t>
  </si>
  <si>
    <t>Целевые расходы</t>
  </si>
  <si>
    <t>Оплата труда</t>
  </si>
  <si>
    <t>Электроэнергия садоводов</t>
  </si>
  <si>
    <t>Электроэнергия Дом сторожа</t>
  </si>
  <si>
    <t>Электроэнергия Насосная станция( с мая по сентябрь)</t>
  </si>
  <si>
    <t>Оплата рев.комиссии членам правления</t>
  </si>
  <si>
    <t>Прочие налоги</t>
  </si>
  <si>
    <t xml:space="preserve">Земельный налог, УСН, плата за пользование водными рессурсами </t>
  </si>
  <si>
    <t>Налоги, взносы от ФОТ,  30,2%</t>
  </si>
  <si>
    <t xml:space="preserve">РКО, услуги банка, обслуживание одного счета </t>
  </si>
  <si>
    <t>Связь</t>
  </si>
  <si>
    <t>Интернет</t>
  </si>
  <si>
    <t>Абонирование ячейки, почтовые расходы</t>
  </si>
  <si>
    <t>Собрание</t>
  </si>
  <si>
    <t>Подача объявлений в СМИ, услуги типографии (бюллетени+материалы собрания)</t>
  </si>
  <si>
    <t>Административные</t>
  </si>
  <si>
    <t>Обслуживание сайта</t>
  </si>
  <si>
    <t xml:space="preserve">Обслуживание орг.техники( заравка картриджей, ремонт), </t>
  </si>
  <si>
    <t>Обслуживание программного обеспечения ("1С", "СБИС", "Система город")</t>
  </si>
  <si>
    <t>Канцелярия+бумага+бытовая химия</t>
  </si>
  <si>
    <t>Коммерческие доходы</t>
  </si>
  <si>
    <t>Юридические</t>
  </si>
  <si>
    <t>Содержание дома сторожа</t>
  </si>
  <si>
    <t>ТБО</t>
  </si>
  <si>
    <t>Противопожарные мероприятия(обучение, проведение инструктажа с садоводами, зарядка огнетушителей, вспашка противопожарной полосы за ограждением со стороны реки)</t>
  </si>
  <si>
    <t>Дорога</t>
  </si>
  <si>
    <t xml:space="preserve">Содержание земель общего пользования </t>
  </si>
  <si>
    <t>Содержание электрохозяйства</t>
  </si>
  <si>
    <t xml:space="preserve">Мероприятия технической эксплуатации и реконструкции электрохозяйства (в т.ч. замена   замена провода АС на СИП , материалы., </t>
  </si>
  <si>
    <t>Ремонт водопровода собственников. Приобретение труб.</t>
  </si>
  <si>
    <t>Содержание водопровода</t>
  </si>
  <si>
    <t xml:space="preserve">Содержание дорог в зимнее время(уборка снега, грейдер) </t>
  </si>
  <si>
    <t xml:space="preserve">Общая площадь земельных участков собственников, кв.м </t>
  </si>
  <si>
    <t>Приобретение угля, дров, питьевой воды, хоз.принадлежностей, заключение договора ГПХ на разгрузку угля, дров с учетом налога</t>
  </si>
  <si>
    <t>Затраты на судебные иски, юридические услуги и судебные выплаты, разработка правовых документов, оплата госпошлины</t>
  </si>
  <si>
    <t>ИТОГО по статье"ОПЛАТА ТРУДА"</t>
  </si>
  <si>
    <t>ИТОГО по статье "СОБРАНИЕ"</t>
  </si>
  <si>
    <t>ИТОГО по статье "СВЯЗЬ"</t>
  </si>
  <si>
    <t>ИТОГО по статье "АДМИНИСТРАТИВНЫЕ"</t>
  </si>
  <si>
    <t>ИТОГО по статье "СОДЕРЖАНИЕ ЭЛЕКТРОХОЗЯЙСТВА"</t>
  </si>
  <si>
    <t>ИТОГО по статье "СОДЕРЖАНИЕ ВОДОПРОВОДА"</t>
  </si>
  <si>
    <t>ИТОГО по статье "ДОРОГА"</t>
  </si>
  <si>
    <r>
      <t xml:space="preserve">Содержание общего водопровода: приобретение ТМЦ </t>
    </r>
    <r>
      <rPr>
        <b/>
        <u/>
        <sz val="10"/>
        <rFont val="Calibri"/>
        <family val="2"/>
        <charset val="204"/>
        <scheme val="minor"/>
      </rPr>
      <t>:труба ПНД</t>
    </r>
    <r>
      <rPr>
        <b/>
        <sz val="10"/>
        <color rgb="FF000000"/>
        <rFont val="Calibri"/>
        <family val="2"/>
        <charset val="204"/>
        <scheme val="minor"/>
      </rPr>
      <t>; задвижки, электроды, диски, спец. одежда,насос.услуги сварщика.</t>
    </r>
  </si>
  <si>
    <t>Аренда помещения (ком.47)+комунальные расходы; Аренда архива</t>
  </si>
  <si>
    <t xml:space="preserve">Приложение №____ к протоколу №2 общего собрания </t>
  </si>
  <si>
    <t>УТВЕРЖДЕНО: решением общего собрания членов садоводческого некоммерческого товарищества собственников недвижимости "Тихие зори" Протокол № 2  от 29.08.2022 г,  п.8</t>
  </si>
  <si>
    <t>СНТСН "Тихие зори"</t>
  </si>
  <si>
    <t>Сумма</t>
  </si>
  <si>
    <t>в том числе  по окладам</t>
  </si>
  <si>
    <t>надбавка за  ненормированный рабочий день, бригадирство</t>
  </si>
  <si>
    <t>работа в праздничные дни</t>
  </si>
  <si>
    <t>надбавка за работу в ночное время</t>
  </si>
  <si>
    <t>Районный коэффициент , 25%</t>
  </si>
  <si>
    <t>ФОТ на замещение сторожа-диспетчера на время очередного отпуска</t>
  </si>
  <si>
    <t xml:space="preserve">НАЛОГИ И ОТЧИСЛЕНИЯ ОТ ФОТ, ВСЕГО </t>
  </si>
  <si>
    <t>Пенсионный фонд, 22%</t>
  </si>
  <si>
    <t>Фонд социального страхования, 2,9%</t>
  </si>
  <si>
    <t xml:space="preserve">Фонд медицинского страхования, 5,1% </t>
  </si>
  <si>
    <t>Отчисления по травматизму , 0,2 %</t>
  </si>
  <si>
    <t>УТВЕРЖДЕНО</t>
  </si>
  <si>
    <t>Председатель правления СНТСН "Тихие зори"</t>
  </si>
  <si>
    <t>_________________ Н.П.Перебоев</t>
  </si>
  <si>
    <t>"___"___________________20__ г</t>
  </si>
  <si>
    <t>Структурное подразделение</t>
  </si>
  <si>
    <t>Должность (специальность, профессия), разряд, класс (категория) квалификации</t>
  </si>
  <si>
    <t>Тарифная ставка (оклад) и пр., руб.</t>
  </si>
  <si>
    <t>Количество штатных единиц</t>
  </si>
  <si>
    <t>Тарифная ставка (оклад) и пр., руб.              ( гр5*гр4)</t>
  </si>
  <si>
    <t>Надбавки, руб.</t>
  </si>
  <si>
    <t>ВСЕГО в месяц ,руб (среднее значение)</t>
  </si>
  <si>
    <t>Примечание( Кол-во месяцев работы в  периоде)</t>
  </si>
  <si>
    <t xml:space="preserve">Годовой фонд оплаты труда </t>
  </si>
  <si>
    <t>Период работы (скрыть для печати), ДАТЫ</t>
  </si>
  <si>
    <t>наименование</t>
  </si>
  <si>
    <t>ненормированный день</t>
  </si>
  <si>
    <t>Праздничные (8 дней)</t>
  </si>
  <si>
    <t>Ночные 20%</t>
  </si>
  <si>
    <t>РК-25%</t>
  </si>
  <si>
    <t>Админ</t>
  </si>
  <si>
    <t>председатель правления _зимн_период</t>
  </si>
  <si>
    <t>председатель правления_летн.период</t>
  </si>
  <si>
    <t>80% от председателя</t>
  </si>
  <si>
    <t>заместитель председателя правления</t>
  </si>
  <si>
    <t>Бухгалтерия</t>
  </si>
  <si>
    <t>бухгалтер</t>
  </si>
  <si>
    <t>65%от бухгалтера</t>
  </si>
  <si>
    <t>специалист по работе с садоводами</t>
  </si>
  <si>
    <t>Рабочий</t>
  </si>
  <si>
    <t>электромонтер</t>
  </si>
  <si>
    <t>электромонтер с обяз. Ответственного</t>
  </si>
  <si>
    <t>Специалист</t>
  </si>
  <si>
    <t>механик</t>
  </si>
  <si>
    <t xml:space="preserve">слесарь насосной </t>
  </si>
  <si>
    <t>слесарь насосной (совместитель)</t>
  </si>
  <si>
    <t>сторож-диспетчер бригадир</t>
  </si>
  <si>
    <t>сторож-диспетчер</t>
  </si>
  <si>
    <t>сторож- диспетчер</t>
  </si>
  <si>
    <t xml:space="preserve">уборщик мусора </t>
  </si>
  <si>
    <t>уборщик помещения д25 к.47</t>
  </si>
  <si>
    <t xml:space="preserve">ИТОГО  </t>
  </si>
  <si>
    <t>ШР_</t>
  </si>
  <si>
    <t>ФОТ утвержден общим собранием садоводов  СНТСН "Тихие зори"</t>
  </si>
  <si>
    <r>
      <rPr>
        <b/>
        <sz val="12"/>
        <rFont val="Times New Roman"/>
        <family val="1"/>
        <charset val="204"/>
      </rPr>
      <t>Примечание 4</t>
    </r>
    <r>
      <rPr>
        <sz val="12"/>
        <rFont val="Times New Roman"/>
        <family val="1"/>
        <charset val="204"/>
      </rPr>
      <t>:Сторожам-диспетчерам выплачивается надбавка за работу в ночное время в размере 20% от суммы  за отработанные ночные часы согласно КЗОТ</t>
    </r>
  </si>
  <si>
    <r>
      <rPr>
        <b/>
        <sz val="12"/>
        <rFont val="Times New Roman"/>
        <family val="1"/>
        <charset val="204"/>
      </rPr>
      <t>Примечание 5</t>
    </r>
    <r>
      <rPr>
        <sz val="12"/>
        <rFont val="Times New Roman"/>
        <family val="1"/>
        <charset val="204"/>
      </rPr>
      <t>:Сторожу-диспетчеру (1 ед) устанавливается надбавка за бригадирство в размере 1000 руб за полный отработанный месяц</t>
    </r>
  </si>
  <si>
    <t>Изготовление банеров, информационных объявлений, адресных табличек</t>
  </si>
  <si>
    <t>Связь сотовая, МТС_4 номера телефона</t>
  </si>
  <si>
    <t xml:space="preserve">Часть 1. ДОХОДНАЯ  ЧАСТЬ БЮДЖЕТА на  2024 г.                                                                                                           </t>
  </si>
  <si>
    <t>Членски взносы 2024 г</t>
  </si>
  <si>
    <t>Оплата садоводов за эл/ энергию  с учетом технологических потерь по договору с "Новосибирскэнергосбытом"- 5,1%</t>
  </si>
  <si>
    <t>Добровольное пожертвование</t>
  </si>
  <si>
    <t>Аренда земельного участка для ПАО МТС,  ООО  БИК (Вымпелком)</t>
  </si>
  <si>
    <t>12*20,0=240000;    12*15,0=180000</t>
  </si>
  <si>
    <t xml:space="preserve">Доход от размещения линий интернет,                       </t>
  </si>
  <si>
    <t>4 кв*6,6 т.руб=26400 ИП Сорокин</t>
  </si>
  <si>
    <t>2 дог*30,0 тыс.руб (магазин ул.4, 19)</t>
  </si>
  <si>
    <t>Плановое поступление      ДС,      2024 г</t>
  </si>
  <si>
    <t>МРОТ с 01.01.2023</t>
  </si>
  <si>
    <t>Размер оклада от МРОТ (положение по оплате труда)</t>
  </si>
  <si>
    <t xml:space="preserve">  2,8 </t>
  </si>
  <si>
    <t xml:space="preserve">  2,8</t>
  </si>
  <si>
    <t xml:space="preserve">1,5 </t>
  </si>
  <si>
    <t xml:space="preserve">1,6 </t>
  </si>
  <si>
    <t>1,9</t>
  </si>
  <si>
    <t>1,2</t>
  </si>
  <si>
    <t xml:space="preserve">1,2 </t>
  </si>
  <si>
    <t>1</t>
  </si>
  <si>
    <r>
      <rPr>
        <b/>
        <sz val="12"/>
        <rFont val="Times New Roman"/>
        <family val="1"/>
        <charset val="204"/>
      </rPr>
      <t>Примечание 1</t>
    </r>
    <r>
      <rPr>
        <sz val="12"/>
        <rFont val="Times New Roman"/>
        <family val="1"/>
        <charset val="204"/>
      </rPr>
      <t>: Штатное расписание расчитано  по МРОТ на 2023 год в размере 16242 руб по окладу председателя правления (Положение об оплате труда  )</t>
    </r>
  </si>
  <si>
    <r>
      <rPr>
        <b/>
        <sz val="12"/>
        <rFont val="Times New Roman"/>
        <family val="1"/>
        <charset val="204"/>
      </rPr>
      <t>Примечание 2</t>
    </r>
    <r>
      <rPr>
        <sz val="12"/>
        <rFont val="Times New Roman"/>
        <family val="1"/>
        <charset val="204"/>
      </rPr>
      <t>: Кол-во месяцев работы Заместителя председателя  4,0 (в том числе  замещение Председателя на период очередного отпуска)</t>
    </r>
  </si>
  <si>
    <r>
      <rPr>
        <b/>
        <sz val="12"/>
        <rFont val="Times New Roman"/>
        <family val="1"/>
        <charset val="204"/>
      </rPr>
      <t>Примечание 3</t>
    </r>
    <r>
      <rPr>
        <sz val="12"/>
        <rFont val="Times New Roman"/>
        <family val="1"/>
        <charset val="204"/>
      </rPr>
      <t>: Ненормированный рабочий день Предсдателю правления устанавливается на летний период с 16 апреля по 15 октября с выплатой надбавки за ненормированный рабочий день в размере 0,2 от МРОТ в сумме 3248,00 руб</t>
    </r>
  </si>
  <si>
    <r>
      <rPr>
        <b/>
        <sz val="12"/>
        <rFont val="Times New Roman"/>
        <family val="1"/>
        <charset val="204"/>
      </rPr>
      <t>Примечание 6</t>
    </r>
    <r>
      <rPr>
        <sz val="12"/>
        <rFont val="Times New Roman"/>
        <family val="1"/>
        <charset val="204"/>
      </rPr>
      <t>:Расчет Праздничных: Кол-во праздников в году -14 дней*24 час=336 час*(16242/164,4=98,80)=33197/4/12=691,60 в месяц для расчета по сторожам; для слесарей : 3 дня*12 час=36 час*(19490*164,4=118,55)=4267,88/5,5=775,98 для расчета на единицу штата</t>
    </r>
  </si>
  <si>
    <r>
      <rPr>
        <b/>
        <sz val="12"/>
        <rFont val="Times New Roman"/>
        <family val="1"/>
        <charset val="204"/>
      </rPr>
      <t>Примечание 7</t>
    </r>
    <r>
      <rPr>
        <sz val="12"/>
        <rFont val="Times New Roman"/>
        <family val="1"/>
        <charset val="204"/>
      </rPr>
      <t>:Расчет Ночных: 365*8 час=2920 час*98,80  руб=288496,00*20%=57699,20/4/12=1202,00   для расчета на  1 шт.единицу;  + Ночные (праздничные)=14*24 ч=336*98,80=33196,80*20%=6639,36/4/12=138,32 руб     ИТОГО за ГОД= 64338,56 руб</t>
    </r>
  </si>
  <si>
    <t>1 550 000 квт * 3,00 руб (с учетом повышения тарифа); факт.потребление в кВт за 2022 год=1 481 086,0</t>
  </si>
  <si>
    <t>Предполагаемый уровень инфляции   10 %</t>
  </si>
  <si>
    <t>Фонд вознаграждения (с учетом налога  30,2 %)</t>
  </si>
  <si>
    <t>Расчет по ФОТ на 2024 год</t>
  </si>
  <si>
    <t>ИТОГО по статье "ЭЛЕКТРОЭНЕРГИЯ" с учетом технологических потерь по условиям договора с АО "Новосибирскэнергосбыт", 5,1%</t>
  </si>
  <si>
    <t>Оплата рев.комиссии (з/пл.бухгалтера)+ оплата членам правления за участие в заседаниях правления</t>
  </si>
  <si>
    <t>Договор с "Ростелекомом"</t>
  </si>
  <si>
    <t>Договор "МТС"</t>
  </si>
  <si>
    <t>Приобретение принтера</t>
  </si>
  <si>
    <t>Приобретение офисной техники ( МФУ)</t>
  </si>
  <si>
    <t>1100 бюл.*100 руб=100000+30,2 %налог</t>
  </si>
  <si>
    <t>Проведение собрания(уведомление, ), затраты на проведения очно-заочного собрания, оплата за подписание бюллетеней по договору ГПХ с учетом налога 30,2 %</t>
  </si>
  <si>
    <t>Договор с "Новотелекомом"</t>
  </si>
  <si>
    <t xml:space="preserve">Отсыпка дорог щебнем и отсевом (Приобретение щебня, услуги спецтехники); Содержание дорог в летнее время(грейдер)   </t>
  </si>
  <si>
    <t xml:space="preserve"> на 1500 показаний*100 руб. </t>
  </si>
  <si>
    <t>Контроль электроэнергии и  установка на электросчетчиках  садоводов антимагнитных  пломб по договор-подряду с учетом налога от ФОТ 30,2%</t>
  </si>
  <si>
    <t>Финансово-экономическое обоснование членского взноса на 2024 г, руб</t>
  </si>
  <si>
    <t>01.01.24-15.04.24; 16.10.24-31.12.24</t>
  </si>
  <si>
    <t>16.04.24-15.10.24</t>
  </si>
  <si>
    <t>01.05.24-31.08.24</t>
  </si>
  <si>
    <t>01.01.24-31.12.24</t>
  </si>
  <si>
    <t>01.05.24-30.09.24</t>
  </si>
  <si>
    <t>16.04.24-31.10.24</t>
  </si>
  <si>
    <t>ПРОЕКТ   Штатного расписания СНТСН "Тихие зори" на 2024 год</t>
  </si>
  <si>
    <t>ПРОЕКТ_РАСХОДЫ 2024 г, ВСЕГО</t>
  </si>
  <si>
    <t>Водный-150 000; земельный-100 000 ;УСН-26 784</t>
  </si>
  <si>
    <t>Содержание детской игровой площадки, проведение общественных меротприятий ; прведение праздничных мероприятий ,в том числе праздник "Урожая-2024"</t>
  </si>
  <si>
    <t>Приложение № 1  к расходной части сметы  на 2024 год (с учетом предполагаемой инфляции )</t>
  </si>
  <si>
    <t>ИТОГО РАСЧЕТНЫЙ ФОТ 2024 год</t>
  </si>
  <si>
    <t>Позиции расчета с 01.01.2024 г</t>
  </si>
  <si>
    <t xml:space="preserve">ФОТ , расчитанный  по штатному расписанию на 2023 год </t>
  </si>
  <si>
    <t>Доля ФОТ и отчислений от ФОТ  в сумме планируемых поступлений на 2024 год  (17 180 400 руб), в %%</t>
  </si>
  <si>
    <r>
      <t xml:space="preserve">Обрезка и уборка кустарников и деревьев на землях общего пользования и веток за пределами ограждения участков, </t>
    </r>
    <r>
      <rPr>
        <b/>
        <sz val="12"/>
        <rFont val="Calibri"/>
        <family val="2"/>
        <charset val="204"/>
        <scheme val="minor"/>
      </rPr>
      <t xml:space="preserve">Благоустройство главных дорог (покос травы),Очистка мусора вокруг территории товарищества (покос травы, уборка хвороста),Очистка обводного канала (Договор ГПХ+налог;)  </t>
    </r>
  </si>
  <si>
    <t xml:space="preserve">11*10000=110 000 аренда; ГСМ 500 л*50 руб=25000 руб; 100л*50,00=5000, ГСМ для зам.председателя ; водолеям </t>
  </si>
  <si>
    <t>ПРОЕКТ ПРИХОДНО-РАСХОДНАЯ СМЕТА НА 2024 ГОД</t>
  </si>
  <si>
    <t xml:space="preserve">ПРОЕКТ    Часть 2. РАСХОДНАЯ ЧАСТЬ БЮДЖЕТА НА  2024 г.                                                                                                           </t>
  </si>
  <si>
    <t>Целевой взнос на ТБО (для новых собственников, приобретенных участки по договору купли-продажи) на освоение и благоустройство участка</t>
  </si>
  <si>
    <t>в том числе ревизия и ремонт магистральной трубы по плану ОТМ</t>
  </si>
  <si>
    <t>ФЭО членского взноса</t>
  </si>
  <si>
    <t xml:space="preserve">ПРОЕКТ  Финансово-экономическое обоснования членского взноса на 2024 год </t>
  </si>
  <si>
    <t>ПРОЕКТ РАСЧЕТА ФОНДА ОПЛАТЫ ТРУДА на 2024 год</t>
  </si>
  <si>
    <t xml:space="preserve">Вывоз ТБО, содержание площадок для контейнеров  10 м.куб. х8000 руб. (Чистый город+МУП САХ); услуги спецтехники </t>
  </si>
  <si>
    <t>4200 куб*800 руб=3360000; услуги ломовоза =300000,00</t>
  </si>
  <si>
    <t>среднее 1700 руб.за сотку</t>
  </si>
  <si>
    <t>на 50 туч. По 8000 руб за  1 контейнер 10 куб.м</t>
  </si>
  <si>
    <t xml:space="preserve">Членский взнос 2024г. за одну  сотку  с 01.01.2024 до 31.08.2024 г-1700 руб.; с  01.09.2024 до 31.12.2024 г-  1900 руб.  </t>
  </si>
  <si>
    <t xml:space="preserve">Членский взнос 2024г. за одну  сотку  с 01.01.2024 до 31.08.2024 г-1700 руб.;                                                                              с  01.09.2024 до 31.12.2024 г-  1900 руб.  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</si>
</sst>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00"/>
    <numFmt numFmtId="166" formatCode="#,##0.0"/>
  </numFmts>
  <fonts count="3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b/>
      <i/>
      <sz val="11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0" xfId="0" applyFont="1"/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3" fontId="1" fillId="3" borderId="1" xfId="0" applyNumberFormat="1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4" fillId="4" borderId="1" xfId="0" applyFont="1" applyFill="1" applyBorder="1" applyAlignment="1">
      <alignment horizontal="justify" vertical="top" wrapText="1"/>
    </xf>
    <xf numFmtId="0" fontId="5" fillId="4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4" fillId="4" borderId="3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justify" vertical="top" wrapText="1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justify" vertical="top"/>
    </xf>
    <xf numFmtId="164" fontId="6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 horizontal="justify" vertical="top" wrapText="1"/>
    </xf>
    <xf numFmtId="0" fontId="3" fillId="6" borderId="3" xfId="0" applyFont="1" applyFill="1" applyBorder="1" applyAlignment="1">
      <alignment horizontal="justify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10" fontId="0" fillId="0" borderId="1" xfId="0" applyNumberFormat="1" applyFont="1" applyBorder="1" applyAlignment="1">
      <alignment horizontal="center" vertical="top" wrapText="1"/>
    </xf>
    <xf numFmtId="10" fontId="0" fillId="7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justify" vertical="top" wrapText="1"/>
    </xf>
    <xf numFmtId="0" fontId="1" fillId="7" borderId="3" xfId="0" applyFont="1" applyFill="1" applyBorder="1" applyAlignment="1">
      <alignment horizontal="justify" vertical="top" wrapText="1"/>
    </xf>
    <xf numFmtId="3" fontId="1" fillId="7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9" fillId="0" borderId="0" xfId="0" applyFont="1" applyFill="1" applyBorder="1"/>
    <xf numFmtId="0" fontId="13" fillId="0" borderId="1" xfId="0" applyFont="1" applyFill="1" applyBorder="1" applyAlignment="1"/>
    <xf numFmtId="0" fontId="13" fillId="0" borderId="0" xfId="0" applyFont="1" applyFill="1" applyBorder="1" applyAlignment="1">
      <alignment horizontal="justify" vertical="top"/>
    </xf>
    <xf numFmtId="0" fontId="13" fillId="0" borderId="0" xfId="0" applyFont="1" applyFill="1" applyBorder="1" applyAlignment="1"/>
    <xf numFmtId="0" fontId="1" fillId="0" borderId="0" xfId="0" applyFont="1" applyFill="1" applyAlignment="1">
      <alignment horizontal="justify" vertical="top" wrapText="1"/>
    </xf>
    <xf numFmtId="3" fontId="1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justify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justify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justify" vertical="top" wrapText="1"/>
    </xf>
    <xf numFmtId="3" fontId="1" fillId="0" borderId="0" xfId="0" applyNumberFormat="1" applyFont="1" applyFill="1" applyBorder="1" applyAlignment="1">
      <alignment horizontal="justify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justify" vertical="top" wrapText="1"/>
    </xf>
    <xf numFmtId="3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8" fillId="0" borderId="3" xfId="0" applyFont="1" applyFill="1" applyBorder="1" applyAlignment="1">
      <alignment horizontal="justify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/>
    <xf numFmtId="0" fontId="17" fillId="0" borderId="1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13" fillId="0" borderId="3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top" wrapText="1"/>
    </xf>
    <xf numFmtId="3" fontId="1" fillId="0" borderId="1" xfId="0" applyNumberFormat="1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wrapText="1"/>
    </xf>
    <xf numFmtId="0" fontId="0" fillId="0" borderId="3" xfId="0" applyFill="1" applyBorder="1" applyAlignment="1">
      <alignment horizontal="justify" vertical="top" wrapText="1"/>
    </xf>
    <xf numFmtId="2" fontId="15" fillId="0" borderId="1" xfId="0" applyNumberFormat="1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26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3" fontId="25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5" fillId="0" borderId="1" xfId="0" applyFont="1" applyBorder="1"/>
    <xf numFmtId="3" fontId="25" fillId="0" borderId="1" xfId="0" applyNumberFormat="1" applyFont="1" applyFill="1" applyBorder="1" applyAlignment="1">
      <alignment horizontal="center"/>
    </xf>
    <xf numFmtId="0" fontId="26" fillId="9" borderId="1" xfId="0" applyFont="1" applyFill="1" applyBorder="1"/>
    <xf numFmtId="3" fontId="26" fillId="9" borderId="1" xfId="0" applyNumberFormat="1" applyFont="1" applyFill="1" applyBorder="1" applyAlignment="1">
      <alignment horizontal="center"/>
    </xf>
    <xf numFmtId="0" fontId="27" fillId="0" borderId="0" xfId="0" applyFont="1"/>
    <xf numFmtId="0" fontId="25" fillId="10" borderId="1" xfId="0" applyFont="1" applyFill="1" applyBorder="1"/>
    <xf numFmtId="4" fontId="25" fillId="10" borderId="1" xfId="0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ont="1"/>
    <xf numFmtId="0" fontId="31" fillId="2" borderId="1" xfId="0" applyFont="1" applyFill="1" applyBorder="1" applyAlignment="1">
      <alignment wrapText="1"/>
    </xf>
    <xf numFmtId="0" fontId="31" fillId="10" borderId="1" xfId="0" applyFont="1" applyFill="1" applyBorder="1" applyAlignment="1">
      <alignment wrapText="1"/>
    </xf>
    <xf numFmtId="3" fontId="32" fillId="0" borderId="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3" fontId="32" fillId="2" borderId="1" xfId="0" applyNumberFormat="1" applyFont="1" applyFill="1" applyBorder="1" applyAlignment="1">
      <alignment horizontal="center"/>
    </xf>
    <xf numFmtId="3" fontId="32" fillId="0" borderId="5" xfId="0" applyNumberFormat="1" applyFont="1" applyFill="1" applyBorder="1" applyAlignment="1">
      <alignment horizontal="center"/>
    </xf>
    <xf numFmtId="166" fontId="32" fillId="0" borderId="1" xfId="0" applyNumberFormat="1" applyFont="1" applyFill="1" applyBorder="1" applyAlignment="1">
      <alignment horizontal="left" wrapText="1"/>
    </xf>
    <xf numFmtId="3" fontId="32" fillId="0" borderId="1" xfId="0" applyNumberFormat="1" applyFont="1" applyFill="1" applyBorder="1"/>
    <xf numFmtId="0" fontId="0" fillId="0" borderId="0" xfId="0" applyFont="1" applyAlignment="1">
      <alignment wrapText="1"/>
    </xf>
    <xf numFmtId="0" fontId="35" fillId="0" borderId="0" xfId="0" applyFont="1"/>
    <xf numFmtId="3" fontId="25" fillId="10" borderId="1" xfId="0" applyNumberFormat="1" applyFont="1" applyFill="1" applyBorder="1" applyAlignment="1">
      <alignment horizontal="center"/>
    </xf>
    <xf numFmtId="0" fontId="3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32" fillId="0" borderId="1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9" borderId="9" xfId="0" applyFont="1" applyFill="1" applyBorder="1" applyAlignment="1">
      <alignment horizontal="center"/>
    </xf>
    <xf numFmtId="0" fontId="32" fillId="9" borderId="9" xfId="0" applyFont="1" applyFill="1" applyBorder="1" applyAlignment="1">
      <alignment horizontal="center" wrapText="1"/>
    </xf>
    <xf numFmtId="0" fontId="32" fillId="2" borderId="9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/>
    </xf>
    <xf numFmtId="3" fontId="32" fillId="9" borderId="1" xfId="0" applyNumberFormat="1" applyFont="1" applyFill="1" applyBorder="1"/>
    <xf numFmtId="0" fontId="32" fillId="0" borderId="1" xfId="0" applyFont="1" applyFill="1" applyBorder="1" applyAlignment="1">
      <alignment horizontal="left" wrapText="1"/>
    </xf>
    <xf numFmtId="49" fontId="32" fillId="0" borderId="1" xfId="0" applyNumberFormat="1" applyFont="1" applyFill="1" applyBorder="1" applyAlignment="1">
      <alignment horizontal="center" wrapText="1"/>
    </xf>
    <xf numFmtId="3" fontId="32" fillId="0" borderId="3" xfId="0" applyNumberFormat="1" applyFont="1" applyFill="1" applyBorder="1" applyAlignment="1">
      <alignment horizontal="center"/>
    </xf>
    <xf numFmtId="3" fontId="32" fillId="2" borderId="10" xfId="0" applyNumberFormat="1" applyFont="1" applyFill="1" applyBorder="1" applyAlignment="1">
      <alignment horizontal="center"/>
    </xf>
    <xf numFmtId="0" fontId="31" fillId="0" borderId="1" xfId="0" applyFont="1" applyBorder="1" applyAlignment="1">
      <alignment wrapText="1"/>
    </xf>
    <xf numFmtId="49" fontId="32" fillId="0" borderId="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justify" vertical="top" wrapText="1"/>
    </xf>
    <xf numFmtId="0" fontId="16" fillId="0" borderId="9" xfId="0" applyFont="1" applyFill="1" applyBorder="1" applyAlignment="1">
      <alignment horizontal="justify" vertical="top" wrapText="1"/>
    </xf>
    <xf numFmtId="0" fontId="17" fillId="0" borderId="9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 applyAlignment="1"/>
    <xf numFmtId="0" fontId="1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4" fillId="0" borderId="0" xfId="0" applyFont="1" applyFill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20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/>
    <xf numFmtId="0" fontId="1" fillId="0" borderId="4" xfId="0" applyFont="1" applyFill="1" applyBorder="1" applyAlignment="1"/>
    <xf numFmtId="0" fontId="1" fillId="0" borderId="8" xfId="0" applyFont="1" applyFill="1" applyBorder="1" applyAlignment="1"/>
    <xf numFmtId="0" fontId="16" fillId="0" borderId="9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2" fillId="0" borderId="1" xfId="0" applyFont="1" applyFill="1" applyBorder="1" applyAlignment="1">
      <alignment horizontal="justify" vertical="top" wrapText="1"/>
    </xf>
    <xf numFmtId="3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17" fillId="0" borderId="9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/>
    <xf numFmtId="0" fontId="13" fillId="0" borderId="1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14" fillId="0" borderId="5" xfId="0" applyFont="1" applyFill="1" applyBorder="1" applyAlignment="1">
      <alignment horizontal="justify" vertical="top" wrapText="1"/>
    </xf>
    <xf numFmtId="0" fontId="0" fillId="0" borderId="2" xfId="0" applyFill="1" applyBorder="1" applyAlignment="1">
      <alignment wrapText="1"/>
    </xf>
    <xf numFmtId="0" fontId="0" fillId="0" borderId="5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 wrapText="1"/>
    </xf>
    <xf numFmtId="0" fontId="13" fillId="0" borderId="6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3" fontId="13" fillId="0" borderId="5" xfId="0" applyNumberFormat="1" applyFont="1" applyFill="1" applyBorder="1" applyAlignment="1">
      <alignment horizontal="left" vertical="top" wrapText="1"/>
    </xf>
    <xf numFmtId="3" fontId="13" fillId="0" borderId="3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3" fillId="0" borderId="5" xfId="0" applyFont="1" applyFill="1" applyBorder="1" applyAlignment="1">
      <alignment horizontal="justify" vertical="top" wrapText="1"/>
    </xf>
    <xf numFmtId="0" fontId="13" fillId="0" borderId="3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wrapText="1"/>
    </xf>
    <xf numFmtId="0" fontId="0" fillId="0" borderId="0" xfId="0" applyAlignment="1"/>
    <xf numFmtId="0" fontId="36" fillId="0" borderId="0" xfId="0" applyFont="1" applyAlignment="1">
      <alignment horizontal="center"/>
    </xf>
    <xf numFmtId="0" fontId="26" fillId="8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5" fillId="10" borderId="1" xfId="0" applyFont="1" applyFill="1" applyBorder="1" applyAlignment="1">
      <alignment wrapText="1"/>
    </xf>
    <xf numFmtId="0" fontId="26" fillId="9" borderId="1" xfId="0" applyFont="1" applyFill="1" applyBorder="1" applyAlignment="1">
      <alignment wrapText="1"/>
    </xf>
    <xf numFmtId="3" fontId="30" fillId="0" borderId="1" xfId="0" applyNumberFormat="1" applyFont="1" applyFill="1" applyBorder="1" applyAlignment="1">
      <alignment horizontal="center" vertical="top" wrapText="1"/>
    </xf>
    <xf numFmtId="3" fontId="31" fillId="0" borderId="1" xfId="0" applyNumberFormat="1" applyFont="1" applyFill="1" applyBorder="1" applyAlignment="1">
      <alignment horizontal="center" vertical="top" wrapText="1"/>
    </xf>
    <xf numFmtId="3" fontId="32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32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right"/>
    </xf>
    <xf numFmtId="0" fontId="32" fillId="0" borderId="2" xfId="0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32" fillId="0" borderId="5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32" fillId="2" borderId="12" xfId="0" applyFont="1" applyFill="1" applyBorder="1" applyAlignment="1">
      <alignment horizontal="center" vertical="top" wrapText="1"/>
    </xf>
    <xf numFmtId="0" fontId="32" fillId="2" borderId="15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2" fillId="0" borderId="15" xfId="0" applyFont="1" applyBorder="1" applyAlignment="1">
      <alignment horizontal="center" vertical="top" wrapText="1"/>
    </xf>
    <xf numFmtId="0" fontId="33" fillId="0" borderId="0" xfId="0" applyFont="1" applyAlignment="1">
      <alignment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Alignment="1"/>
    <xf numFmtId="0" fontId="0" fillId="0" borderId="3" xfId="0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opLeftCell="A10" workbookViewId="0">
      <selection activeCell="B62" sqref="B62"/>
    </sheetView>
  </sheetViews>
  <sheetFormatPr defaultColWidth="35.7109375" defaultRowHeight="44.25" customHeight="1"/>
  <cols>
    <col min="1" max="1" width="4.140625" style="21" customWidth="1"/>
    <col min="2" max="2" width="35.7109375" style="2"/>
    <col min="3" max="3" width="18" style="2" customWidth="1"/>
    <col min="4" max="4" width="19.140625" style="2" customWidth="1"/>
    <col min="5" max="5" width="18.5703125" style="2" customWidth="1"/>
    <col min="6" max="6" width="20" style="2" customWidth="1"/>
    <col min="7" max="7" width="38.28515625" style="2" customWidth="1"/>
    <col min="8" max="16384" width="35.7109375" style="1"/>
  </cols>
  <sheetData>
    <row r="1" spans="1:7" ht="57.75" customHeight="1">
      <c r="E1" s="150" t="s">
        <v>4</v>
      </c>
      <c r="F1" s="150"/>
      <c r="G1" s="150"/>
    </row>
    <row r="2" spans="1:7" ht="19.5" customHeight="1">
      <c r="B2" s="151" t="s">
        <v>60</v>
      </c>
      <c r="C2" s="151"/>
      <c r="D2" s="151"/>
      <c r="E2" s="151"/>
      <c r="F2" s="151"/>
      <c r="G2" s="151"/>
    </row>
    <row r="3" spans="1:7" ht="13.5" customHeight="1">
      <c r="B3" s="3"/>
      <c r="C3" s="3"/>
      <c r="D3" s="3"/>
      <c r="E3" s="3"/>
      <c r="F3" s="3"/>
      <c r="G3" s="3"/>
    </row>
    <row r="4" spans="1:7" ht="34.5" customHeight="1">
      <c r="B4" s="152" t="s">
        <v>5</v>
      </c>
      <c r="C4" s="152"/>
      <c r="D4" s="152"/>
      <c r="E4" s="152"/>
      <c r="F4" s="152"/>
      <c r="G4" s="16">
        <v>739000</v>
      </c>
    </row>
    <row r="5" spans="1:7" ht="36" customHeight="1">
      <c r="B5" s="152" t="s">
        <v>47</v>
      </c>
      <c r="C5" s="152"/>
      <c r="D5" s="152"/>
      <c r="E5" s="152"/>
      <c r="F5" s="152"/>
      <c r="G5" s="4"/>
    </row>
    <row r="6" spans="1:7" ht="12" customHeight="1"/>
    <row r="7" spans="1:7" ht="22.5" customHeight="1">
      <c r="A7" s="156" t="s">
        <v>0</v>
      </c>
      <c r="B7" s="157"/>
      <c r="C7" s="157"/>
      <c r="D7" s="157"/>
      <c r="E7" s="157"/>
      <c r="F7" s="157"/>
      <c r="G7" s="157"/>
    </row>
    <row r="8" spans="1:7" ht="44.25" customHeight="1">
      <c r="A8" s="23" t="s">
        <v>11</v>
      </c>
      <c r="B8" s="5" t="s">
        <v>2</v>
      </c>
      <c r="C8" s="5" t="s">
        <v>45</v>
      </c>
      <c r="D8" s="5" t="s">
        <v>46</v>
      </c>
      <c r="E8" s="5" t="s">
        <v>53</v>
      </c>
      <c r="F8" s="5" t="s">
        <v>48</v>
      </c>
      <c r="G8" s="6" t="s">
        <v>49</v>
      </c>
    </row>
    <row r="9" spans="1:7" ht="29.25" customHeight="1">
      <c r="A9" s="10">
        <v>1</v>
      </c>
      <c r="B9" s="18" t="s">
        <v>62</v>
      </c>
      <c r="C9" s="32">
        <f>8167000+208000</f>
        <v>8375000</v>
      </c>
      <c r="D9" s="33">
        <f>7870923+65782</f>
        <v>7936705</v>
      </c>
      <c r="E9" s="14">
        <f>D9-C9</f>
        <v>-438295</v>
      </c>
      <c r="F9" s="26">
        <f>D9/C9</f>
        <v>0.94766626865671644</v>
      </c>
      <c r="G9" s="7"/>
    </row>
    <row r="10" spans="1:7" ht="36" customHeight="1">
      <c r="A10" s="10">
        <v>3</v>
      </c>
      <c r="B10" s="18" t="s">
        <v>56</v>
      </c>
      <c r="C10" s="34"/>
      <c r="D10" s="35">
        <v>25407</v>
      </c>
      <c r="E10" s="14">
        <f t="shared" ref="E10:E18" si="0">D10-C10</f>
        <v>25407</v>
      </c>
      <c r="F10" s="26" t="e">
        <f t="shared" ref="F10:F17" si="1">D10/C10</f>
        <v>#DIV/0!</v>
      </c>
      <c r="G10" s="7"/>
    </row>
    <row r="11" spans="1:7" ht="34.5" customHeight="1">
      <c r="A11" s="10">
        <v>4</v>
      </c>
      <c r="B11" s="18" t="s">
        <v>57</v>
      </c>
      <c r="C11" s="34">
        <v>75000</v>
      </c>
      <c r="D11" s="35">
        <v>37508</v>
      </c>
      <c r="E11" s="14">
        <f t="shared" si="0"/>
        <v>-37492</v>
      </c>
      <c r="F11" s="26">
        <f t="shared" si="1"/>
        <v>0.5001066666666667</v>
      </c>
      <c r="G11" s="7"/>
    </row>
    <row r="12" spans="1:7" ht="32.25" customHeight="1">
      <c r="A12" s="10">
        <v>5</v>
      </c>
      <c r="B12" s="18" t="s">
        <v>58</v>
      </c>
      <c r="C12" s="34">
        <v>390000</v>
      </c>
      <c r="D12" s="35">
        <v>336050</v>
      </c>
      <c r="E12" s="14">
        <f t="shared" si="0"/>
        <v>-53950</v>
      </c>
      <c r="F12" s="26">
        <f t="shared" si="1"/>
        <v>0.86166666666666669</v>
      </c>
      <c r="G12" s="7"/>
    </row>
    <row r="13" spans="1:7" ht="34.5" customHeight="1">
      <c r="A13" s="10">
        <v>6</v>
      </c>
      <c r="B13" s="18" t="s">
        <v>59</v>
      </c>
      <c r="C13" s="34">
        <v>10000</v>
      </c>
      <c r="D13" s="35">
        <v>8834</v>
      </c>
      <c r="E13" s="14">
        <f t="shared" si="0"/>
        <v>-1166</v>
      </c>
      <c r="F13" s="26">
        <f t="shared" si="1"/>
        <v>0.88339999999999996</v>
      </c>
      <c r="G13" s="7"/>
    </row>
    <row r="14" spans="1:7" ht="21.75" customHeight="1">
      <c r="A14" s="10">
        <v>7</v>
      </c>
      <c r="B14" s="18" t="s">
        <v>9</v>
      </c>
      <c r="C14" s="34">
        <v>87000</v>
      </c>
      <c r="D14" s="35">
        <v>85700</v>
      </c>
      <c r="E14" s="14">
        <f t="shared" si="0"/>
        <v>-1300</v>
      </c>
      <c r="F14" s="26">
        <f t="shared" si="1"/>
        <v>0.98505747126436782</v>
      </c>
      <c r="G14" s="7"/>
    </row>
    <row r="15" spans="1:7" ht="30.75" customHeight="1">
      <c r="A15" s="10">
        <v>8</v>
      </c>
      <c r="B15" s="18" t="s">
        <v>10</v>
      </c>
      <c r="C15" s="34">
        <v>180000</v>
      </c>
      <c r="D15" s="35">
        <v>202833</v>
      </c>
      <c r="E15" s="14">
        <f t="shared" si="0"/>
        <v>22833</v>
      </c>
      <c r="F15" s="26">
        <f t="shared" si="1"/>
        <v>1.1268499999999999</v>
      </c>
      <c r="G15" s="7"/>
    </row>
    <row r="16" spans="1:7" ht="25.5" customHeight="1">
      <c r="A16" s="10"/>
      <c r="B16" s="18" t="s">
        <v>55</v>
      </c>
      <c r="C16" s="32">
        <v>200000</v>
      </c>
      <c r="D16" s="33">
        <v>200000</v>
      </c>
      <c r="E16" s="14">
        <f t="shared" si="0"/>
        <v>0</v>
      </c>
      <c r="F16" s="26">
        <f t="shared" si="1"/>
        <v>1</v>
      </c>
      <c r="G16" s="7"/>
    </row>
    <row r="17" spans="1:7" ht="27.75" customHeight="1">
      <c r="A17" s="10"/>
      <c r="B17" s="18" t="s">
        <v>8</v>
      </c>
      <c r="C17" s="32">
        <v>2200000</v>
      </c>
      <c r="D17" s="33">
        <v>2032458</v>
      </c>
      <c r="E17" s="14">
        <f t="shared" si="0"/>
        <v>-167542</v>
      </c>
      <c r="F17" s="26">
        <f t="shared" si="1"/>
        <v>0.92384454545454542</v>
      </c>
      <c r="G17" s="7"/>
    </row>
    <row r="18" spans="1:7" ht="28.5" customHeight="1">
      <c r="A18" s="10"/>
      <c r="B18" s="17" t="s">
        <v>3</v>
      </c>
      <c r="C18" s="15">
        <f>SUM(C9:C17)</f>
        <v>11517000</v>
      </c>
      <c r="D18" s="15">
        <f t="shared" ref="D18" si="2">SUM(D9:D17)</f>
        <v>10865495</v>
      </c>
      <c r="E18" s="28">
        <f t="shared" si="0"/>
        <v>-651505</v>
      </c>
      <c r="F18" s="27">
        <f>D18/C18</f>
        <v>0.94343101502127291</v>
      </c>
      <c r="G18" s="25"/>
    </row>
    <row r="19" spans="1:7" s="44" customFormat="1" ht="28.5" customHeight="1">
      <c r="A19" s="39"/>
      <c r="B19" s="36"/>
      <c r="C19" s="40"/>
      <c r="D19" s="40"/>
      <c r="E19" s="41"/>
      <c r="F19" s="42"/>
      <c r="G19" s="43"/>
    </row>
    <row r="20" spans="1:7" s="44" customFormat="1" ht="28.5" customHeight="1">
      <c r="A20" s="39"/>
      <c r="B20" s="36"/>
      <c r="C20" s="40"/>
      <c r="D20" s="40"/>
      <c r="E20" s="41"/>
      <c r="F20" s="42"/>
      <c r="G20" s="43"/>
    </row>
    <row r="21" spans="1:7" s="44" customFormat="1" ht="28.5" customHeight="1">
      <c r="A21" s="39"/>
      <c r="B21" s="36"/>
      <c r="C21" s="40"/>
      <c r="D21" s="40"/>
      <c r="E21" s="41"/>
      <c r="F21" s="42"/>
      <c r="G21" s="43"/>
    </row>
    <row r="22" spans="1:7" ht="16.5" customHeight="1">
      <c r="A22" s="45"/>
      <c r="B22" s="36"/>
      <c r="C22" s="37"/>
      <c r="D22" s="37"/>
      <c r="E22" s="38"/>
      <c r="F22" s="38"/>
      <c r="G22" s="38"/>
    </row>
    <row r="23" spans="1:7" ht="19.5" customHeight="1">
      <c r="A23" s="22"/>
      <c r="B23" s="153" t="s">
        <v>6</v>
      </c>
      <c r="C23" s="154"/>
      <c r="D23" s="154"/>
      <c r="E23" s="154"/>
      <c r="F23" s="154"/>
      <c r="G23" s="155"/>
    </row>
    <row r="24" spans="1:7" ht="33" customHeight="1">
      <c r="A24" s="8" t="s">
        <v>11</v>
      </c>
      <c r="B24" s="19" t="s">
        <v>7</v>
      </c>
      <c r="C24" s="8" t="s">
        <v>50</v>
      </c>
      <c r="D24" s="8" t="s">
        <v>51</v>
      </c>
      <c r="E24" s="8" t="s">
        <v>52</v>
      </c>
      <c r="F24" s="8" t="s">
        <v>48</v>
      </c>
      <c r="G24" s="9" t="s">
        <v>1</v>
      </c>
    </row>
    <row r="25" spans="1:7" ht="21" customHeight="1">
      <c r="A25" s="10">
        <v>1</v>
      </c>
      <c r="B25" s="18" t="s">
        <v>12</v>
      </c>
      <c r="C25" s="46">
        <v>2784340</v>
      </c>
      <c r="D25" s="24">
        <v>2313328</v>
      </c>
      <c r="E25" s="12">
        <f>D25-C25</f>
        <v>-471012</v>
      </c>
      <c r="F25" s="48">
        <f>D25/C25</f>
        <v>0.83083531465266458</v>
      </c>
      <c r="G25" s="13"/>
    </row>
    <row r="26" spans="1:7" ht="21" customHeight="1">
      <c r="A26" s="10">
        <v>2</v>
      </c>
      <c r="B26" s="18" t="s">
        <v>13</v>
      </c>
      <c r="C26" s="46">
        <v>840870</v>
      </c>
      <c r="D26" s="24">
        <f>689536+4597</f>
        <v>694133</v>
      </c>
      <c r="E26" s="12">
        <f t="shared" ref="E26:E58" si="3">D26-C26</f>
        <v>-146737</v>
      </c>
      <c r="F26" s="48">
        <f t="shared" ref="F26:F59" si="4">D26/C26</f>
        <v>0.82549383376740759</v>
      </c>
      <c r="G26" s="13"/>
    </row>
    <row r="27" spans="1:7" ht="21" customHeight="1">
      <c r="A27" s="10">
        <v>3</v>
      </c>
      <c r="B27" s="18" t="s">
        <v>14</v>
      </c>
      <c r="C27" s="46">
        <v>55000</v>
      </c>
      <c r="D27" s="24">
        <v>43214</v>
      </c>
      <c r="E27" s="12">
        <f t="shared" si="3"/>
        <v>-11786</v>
      </c>
      <c r="F27" s="48">
        <f t="shared" si="4"/>
        <v>0.78570909090909091</v>
      </c>
      <c r="G27" s="13"/>
    </row>
    <row r="28" spans="1:7" ht="21" customHeight="1">
      <c r="A28" s="10">
        <v>4</v>
      </c>
      <c r="B28" s="18" t="s">
        <v>15</v>
      </c>
      <c r="C28" s="46">
        <v>90000</v>
      </c>
      <c r="D28" s="24">
        <v>4863</v>
      </c>
      <c r="E28" s="12">
        <f t="shared" si="3"/>
        <v>-85137</v>
      </c>
      <c r="F28" s="48">
        <f t="shared" si="4"/>
        <v>5.4033333333333336E-2</v>
      </c>
      <c r="G28" s="13"/>
    </row>
    <row r="29" spans="1:7" ht="34.5" customHeight="1">
      <c r="A29" s="10">
        <v>5</v>
      </c>
      <c r="B29" s="18" t="s">
        <v>16</v>
      </c>
      <c r="C29" s="46">
        <v>2100000</v>
      </c>
      <c r="D29" s="24">
        <f>3050474-18000-145000</f>
        <v>2887474</v>
      </c>
      <c r="E29" s="12">
        <f t="shared" si="3"/>
        <v>787474</v>
      </c>
      <c r="F29" s="48">
        <f t="shared" si="4"/>
        <v>1.3749876190476191</v>
      </c>
      <c r="G29" s="13"/>
    </row>
    <row r="30" spans="1:7" ht="36.75" customHeight="1">
      <c r="A30" s="10">
        <v>6</v>
      </c>
      <c r="B30" s="18" t="s">
        <v>17</v>
      </c>
      <c r="C30" s="46">
        <v>100000</v>
      </c>
      <c r="D30" s="24">
        <v>145000</v>
      </c>
      <c r="E30" s="12">
        <f t="shared" si="3"/>
        <v>45000</v>
      </c>
      <c r="F30" s="48">
        <f t="shared" si="4"/>
        <v>1.45</v>
      </c>
      <c r="G30" s="13"/>
    </row>
    <row r="31" spans="1:7" ht="21" customHeight="1">
      <c r="A31" s="10">
        <v>7</v>
      </c>
      <c r="B31" s="18" t="s">
        <v>18</v>
      </c>
      <c r="C31" s="46">
        <v>80000</v>
      </c>
      <c r="D31" s="24">
        <v>54905</v>
      </c>
      <c r="E31" s="12">
        <f t="shared" si="3"/>
        <v>-25095</v>
      </c>
      <c r="F31" s="48">
        <f t="shared" si="4"/>
        <v>0.68631249999999999</v>
      </c>
      <c r="G31" s="13"/>
    </row>
    <row r="32" spans="1:7" ht="78" customHeight="1">
      <c r="A32" s="10">
        <v>8</v>
      </c>
      <c r="B32" s="18" t="s">
        <v>19</v>
      </c>
      <c r="C32" s="46">
        <v>139650</v>
      </c>
      <c r="D32" s="24">
        <v>103685</v>
      </c>
      <c r="E32" s="12">
        <f t="shared" si="3"/>
        <v>-35965</v>
      </c>
      <c r="F32" s="48">
        <f t="shared" si="4"/>
        <v>0.74246330110991765</v>
      </c>
      <c r="G32" s="13"/>
    </row>
    <row r="33" spans="1:7" ht="21" customHeight="1">
      <c r="A33" s="10">
        <v>9</v>
      </c>
      <c r="B33" s="18" t="s">
        <v>20</v>
      </c>
      <c r="C33" s="46">
        <v>10000</v>
      </c>
      <c r="D33" s="24">
        <v>11172</v>
      </c>
      <c r="E33" s="12">
        <f t="shared" si="3"/>
        <v>1172</v>
      </c>
      <c r="F33" s="48">
        <f t="shared" si="4"/>
        <v>1.1172</v>
      </c>
      <c r="G33" s="13"/>
    </row>
    <row r="34" spans="1:7" ht="21" customHeight="1">
      <c r="A34" s="10">
        <v>10</v>
      </c>
      <c r="B34" s="18" t="s">
        <v>21</v>
      </c>
      <c r="C34" s="46">
        <v>5700</v>
      </c>
      <c r="D34" s="24">
        <v>1494</v>
      </c>
      <c r="E34" s="12">
        <f t="shared" si="3"/>
        <v>-4206</v>
      </c>
      <c r="F34" s="48">
        <f t="shared" si="4"/>
        <v>0.26210526315789473</v>
      </c>
      <c r="G34" s="13"/>
    </row>
    <row r="35" spans="1:7" ht="31.5" customHeight="1">
      <c r="A35" s="10">
        <v>11</v>
      </c>
      <c r="B35" s="18" t="s">
        <v>22</v>
      </c>
      <c r="C35" s="46">
        <v>25000</v>
      </c>
      <c r="D35" s="24">
        <v>15797</v>
      </c>
      <c r="E35" s="12">
        <f t="shared" si="3"/>
        <v>-9203</v>
      </c>
      <c r="F35" s="48">
        <f t="shared" si="4"/>
        <v>0.63188</v>
      </c>
      <c r="G35" s="13"/>
    </row>
    <row r="36" spans="1:7" ht="21" customHeight="1">
      <c r="A36" s="10">
        <v>12</v>
      </c>
      <c r="B36" s="18" t="s">
        <v>23</v>
      </c>
      <c r="C36" s="46">
        <v>25000</v>
      </c>
      <c r="D36" s="24">
        <f>249+20224</f>
        <v>20473</v>
      </c>
      <c r="E36" s="12">
        <f t="shared" si="3"/>
        <v>-4527</v>
      </c>
      <c r="F36" s="48">
        <f t="shared" si="4"/>
        <v>0.81891999999999998</v>
      </c>
      <c r="G36" s="13"/>
    </row>
    <row r="37" spans="1:7" ht="53.25" customHeight="1">
      <c r="A37" s="10">
        <v>13</v>
      </c>
      <c r="B37" s="18" t="s">
        <v>41</v>
      </c>
      <c r="C37" s="46">
        <v>120000</v>
      </c>
      <c r="D37" s="24">
        <f>47861+19181</f>
        <v>67042</v>
      </c>
      <c r="E37" s="12">
        <f t="shared" si="3"/>
        <v>-52958</v>
      </c>
      <c r="F37" s="48">
        <f t="shared" si="4"/>
        <v>0.55868333333333331</v>
      </c>
      <c r="G37" s="13"/>
    </row>
    <row r="38" spans="1:7" ht="63.75" customHeight="1">
      <c r="A38" s="10">
        <v>14</v>
      </c>
      <c r="B38" s="18" t="s">
        <v>24</v>
      </c>
      <c r="C38" s="46">
        <v>55000</v>
      </c>
      <c r="D38" s="24">
        <v>30000</v>
      </c>
      <c r="E38" s="12">
        <f t="shared" si="3"/>
        <v>-25000</v>
      </c>
      <c r="F38" s="48">
        <f t="shared" si="4"/>
        <v>0.54545454545454541</v>
      </c>
      <c r="G38" s="13"/>
    </row>
    <row r="39" spans="1:7" ht="21" customHeight="1">
      <c r="A39" s="10">
        <v>15</v>
      </c>
      <c r="B39" s="18" t="s">
        <v>25</v>
      </c>
      <c r="C39" s="46">
        <v>25000</v>
      </c>
      <c r="D39" s="24">
        <v>15280</v>
      </c>
      <c r="E39" s="12">
        <f t="shared" si="3"/>
        <v>-9720</v>
      </c>
      <c r="F39" s="48">
        <f t="shared" si="4"/>
        <v>0.61119999999999997</v>
      </c>
      <c r="G39" s="13"/>
    </row>
    <row r="40" spans="1:7" ht="45" customHeight="1">
      <c r="A40" s="10">
        <v>16</v>
      </c>
      <c r="B40" s="18" t="s">
        <v>26</v>
      </c>
      <c r="C40" s="46">
        <v>100000</v>
      </c>
      <c r="D40" s="24">
        <f>19764+39560+20397+17723+1995</f>
        <v>99439</v>
      </c>
      <c r="E40" s="12">
        <f t="shared" si="3"/>
        <v>-561</v>
      </c>
      <c r="F40" s="48">
        <f t="shared" si="4"/>
        <v>0.99439</v>
      </c>
      <c r="G40" s="13"/>
    </row>
    <row r="41" spans="1:7" ht="33" customHeight="1">
      <c r="A41" s="10">
        <v>17</v>
      </c>
      <c r="B41" s="31" t="s">
        <v>61</v>
      </c>
      <c r="C41" s="29">
        <v>28660</v>
      </c>
      <c r="D41" s="24">
        <v>6396</v>
      </c>
      <c r="E41" s="12">
        <f t="shared" si="3"/>
        <v>-22264</v>
      </c>
      <c r="F41" s="48">
        <f t="shared" si="4"/>
        <v>0.22316817864619679</v>
      </c>
      <c r="G41" s="54"/>
    </row>
    <row r="42" spans="1:7" ht="28.5" customHeight="1">
      <c r="A42" s="10">
        <v>18</v>
      </c>
      <c r="B42" s="18" t="s">
        <v>27</v>
      </c>
      <c r="C42" s="46">
        <v>75000</v>
      </c>
      <c r="D42" s="24">
        <v>53689</v>
      </c>
      <c r="E42" s="12">
        <f t="shared" si="3"/>
        <v>-21311</v>
      </c>
      <c r="F42" s="48">
        <f t="shared" si="4"/>
        <v>0.71585333333333334</v>
      </c>
      <c r="G42" s="13"/>
    </row>
    <row r="43" spans="1:7" ht="28.5" customHeight="1">
      <c r="A43" s="10">
        <v>19</v>
      </c>
      <c r="B43" s="18" t="s">
        <v>28</v>
      </c>
      <c r="C43" s="46">
        <v>113000</v>
      </c>
      <c r="D43" s="24">
        <v>90947</v>
      </c>
      <c r="E43" s="12">
        <f t="shared" si="3"/>
        <v>-22053</v>
      </c>
      <c r="F43" s="48">
        <f t="shared" si="4"/>
        <v>0.80484070796460172</v>
      </c>
      <c r="G43" s="13"/>
    </row>
    <row r="44" spans="1:7" ht="48.75" customHeight="1">
      <c r="A44" s="10">
        <v>1</v>
      </c>
      <c r="B44" s="18" t="s">
        <v>29</v>
      </c>
      <c r="C44" s="46">
        <v>100000</v>
      </c>
      <c r="D44" s="24">
        <v>18000</v>
      </c>
      <c r="E44" s="12">
        <f t="shared" si="3"/>
        <v>-82000</v>
      </c>
      <c r="F44" s="48">
        <f t="shared" si="4"/>
        <v>0.18</v>
      </c>
      <c r="G44" s="11"/>
    </row>
    <row r="45" spans="1:7" ht="83.25" customHeight="1">
      <c r="A45" s="10">
        <v>2</v>
      </c>
      <c r="B45" s="18" t="s">
        <v>30</v>
      </c>
      <c r="C45" s="46">
        <f>875780+283000</f>
        <v>1158780</v>
      </c>
      <c r="D45" s="24">
        <f>78130+172000+369684+14332</f>
        <v>634146</v>
      </c>
      <c r="E45" s="12">
        <f t="shared" si="3"/>
        <v>-524634</v>
      </c>
      <c r="F45" s="48">
        <f t="shared" si="4"/>
        <v>0.54725314554962978</v>
      </c>
      <c r="G45" s="11"/>
    </row>
    <row r="46" spans="1:7" ht="65.25" customHeight="1">
      <c r="A46" s="10">
        <v>3</v>
      </c>
      <c r="B46" s="18" t="s">
        <v>31</v>
      </c>
      <c r="C46" s="46">
        <v>90000</v>
      </c>
      <c r="D46" s="24">
        <v>98325</v>
      </c>
      <c r="E46" s="12">
        <f t="shared" si="3"/>
        <v>8325</v>
      </c>
      <c r="F46" s="48">
        <f t="shared" si="4"/>
        <v>1.0925</v>
      </c>
      <c r="G46" s="11"/>
    </row>
    <row r="47" spans="1:7" ht="178.5" customHeight="1">
      <c r="A47" s="10">
        <v>4</v>
      </c>
      <c r="B47" s="18" t="s">
        <v>32</v>
      </c>
      <c r="C47" s="46">
        <f>475000+597000</f>
        <v>1072000</v>
      </c>
      <c r="D47" s="24">
        <f>1382320+17980</f>
        <v>1400300</v>
      </c>
      <c r="E47" s="12">
        <f t="shared" si="3"/>
        <v>328300</v>
      </c>
      <c r="F47" s="48">
        <f t="shared" si="4"/>
        <v>1.3062499999999999</v>
      </c>
      <c r="G47" s="11"/>
    </row>
    <row r="48" spans="1:7" ht="44.25" customHeight="1">
      <c r="A48" s="10">
        <v>5</v>
      </c>
      <c r="B48" s="18" t="s">
        <v>33</v>
      </c>
      <c r="C48" s="46">
        <v>48000</v>
      </c>
      <c r="D48" s="24">
        <v>64500</v>
      </c>
      <c r="E48" s="12">
        <f t="shared" si="3"/>
        <v>16500</v>
      </c>
      <c r="F48" s="48">
        <f t="shared" si="4"/>
        <v>1.34375</v>
      </c>
      <c r="G48" s="11"/>
    </row>
    <row r="49" spans="1:7" ht="44.25" customHeight="1">
      <c r="A49" s="10">
        <v>6</v>
      </c>
      <c r="B49" s="20" t="s">
        <v>34</v>
      </c>
      <c r="C49" s="46">
        <v>10000</v>
      </c>
      <c r="D49" s="24">
        <f>2116+57031+14999</f>
        <v>74146</v>
      </c>
      <c r="E49" s="12">
        <f t="shared" si="3"/>
        <v>64146</v>
      </c>
      <c r="F49" s="48">
        <f t="shared" si="4"/>
        <v>7.4146000000000001</v>
      </c>
      <c r="G49" s="11"/>
    </row>
    <row r="50" spans="1:7" ht="44.25" customHeight="1">
      <c r="A50" s="10">
        <v>7</v>
      </c>
      <c r="B50" s="18" t="s">
        <v>35</v>
      </c>
      <c r="C50" s="47">
        <v>230000</v>
      </c>
      <c r="D50" s="24">
        <f>234700+77749</f>
        <v>312449</v>
      </c>
      <c r="E50" s="12">
        <f t="shared" si="3"/>
        <v>82449</v>
      </c>
      <c r="F50" s="48">
        <f t="shared" si="4"/>
        <v>1.3584739130434782</v>
      </c>
      <c r="G50" s="11"/>
    </row>
    <row r="51" spans="1:7" ht="44.25" customHeight="1">
      <c r="A51" s="10">
        <v>8</v>
      </c>
      <c r="B51" s="18" t="s">
        <v>36</v>
      </c>
      <c r="C51" s="47">
        <v>35000</v>
      </c>
      <c r="D51" s="24"/>
      <c r="E51" s="12">
        <f t="shared" si="3"/>
        <v>-35000</v>
      </c>
      <c r="F51" s="48">
        <f t="shared" si="4"/>
        <v>0</v>
      </c>
      <c r="G51" s="11"/>
    </row>
    <row r="52" spans="1:7" ht="44.25" customHeight="1">
      <c r="A52" s="10">
        <v>9</v>
      </c>
      <c r="B52" s="18" t="s">
        <v>39</v>
      </c>
      <c r="C52" s="47">
        <f>90000+80000</f>
        <v>170000</v>
      </c>
      <c r="D52" s="24">
        <v>71417</v>
      </c>
      <c r="E52" s="12">
        <f t="shared" si="3"/>
        <v>-98583</v>
      </c>
      <c r="F52" s="48">
        <f t="shared" si="4"/>
        <v>0.42009999999999997</v>
      </c>
      <c r="G52" s="11"/>
    </row>
    <row r="53" spans="1:7" ht="68.25" customHeight="1">
      <c r="A53" s="10">
        <v>10</v>
      </c>
      <c r="B53" s="18" t="s">
        <v>38</v>
      </c>
      <c r="C53" s="47">
        <v>150000</v>
      </c>
      <c r="D53" s="24">
        <f>9450+17500</f>
        <v>26950</v>
      </c>
      <c r="E53" s="12">
        <f t="shared" si="3"/>
        <v>-123050</v>
      </c>
      <c r="F53" s="48">
        <f t="shared" si="4"/>
        <v>0.17966666666666667</v>
      </c>
      <c r="G53" s="11"/>
    </row>
    <row r="54" spans="1:7" ht="69" customHeight="1">
      <c r="A54" s="10">
        <v>11</v>
      </c>
      <c r="B54" s="18" t="s">
        <v>37</v>
      </c>
      <c r="C54" s="47">
        <v>30000</v>
      </c>
      <c r="D54" s="24">
        <v>2330</v>
      </c>
      <c r="E54" s="12">
        <f t="shared" si="3"/>
        <v>-27670</v>
      </c>
      <c r="F54" s="48">
        <f t="shared" si="4"/>
        <v>7.7666666666666662E-2</v>
      </c>
      <c r="G54" s="11"/>
    </row>
    <row r="55" spans="1:7" ht="66.75" customHeight="1">
      <c r="A55" s="10">
        <v>12</v>
      </c>
      <c r="B55" s="18" t="s">
        <v>40</v>
      </c>
      <c r="C55" s="47">
        <v>25000</v>
      </c>
      <c r="D55" s="24"/>
      <c r="E55" s="12">
        <f t="shared" si="3"/>
        <v>-25000</v>
      </c>
      <c r="F55" s="48">
        <f t="shared" si="4"/>
        <v>0</v>
      </c>
      <c r="G55" s="11"/>
    </row>
    <row r="56" spans="1:7" ht="36.75" customHeight="1">
      <c r="A56" s="10">
        <v>13</v>
      </c>
      <c r="B56" s="18" t="s">
        <v>44</v>
      </c>
      <c r="C56" s="47">
        <v>26000</v>
      </c>
      <c r="D56" s="24"/>
      <c r="E56" s="12">
        <f t="shared" si="3"/>
        <v>-26000</v>
      </c>
      <c r="F56" s="48">
        <f t="shared" si="4"/>
        <v>0</v>
      </c>
      <c r="G56" s="11"/>
    </row>
    <row r="57" spans="1:7" ht="44.25" customHeight="1">
      <c r="A57" s="10">
        <v>14</v>
      </c>
      <c r="B57" s="18" t="s">
        <v>43</v>
      </c>
      <c r="C57" s="47">
        <v>25000</v>
      </c>
      <c r="D57" s="24"/>
      <c r="E57" s="12">
        <f t="shared" si="3"/>
        <v>-25000</v>
      </c>
      <c r="F57" s="48">
        <f t="shared" si="4"/>
        <v>0</v>
      </c>
      <c r="G57" s="11"/>
    </row>
    <row r="58" spans="1:7" ht="51.75" customHeight="1">
      <c r="A58" s="10">
        <v>15</v>
      </c>
      <c r="B58" s="18" t="s">
        <v>42</v>
      </c>
      <c r="C58" s="47">
        <v>1700000</v>
      </c>
      <c r="D58" s="24">
        <f>1751569+47027+7626</f>
        <v>1806222</v>
      </c>
      <c r="E58" s="12">
        <f t="shared" si="3"/>
        <v>106222</v>
      </c>
      <c r="F58" s="48">
        <f t="shared" si="4"/>
        <v>1.0624835294117647</v>
      </c>
      <c r="G58" s="11"/>
    </row>
    <row r="59" spans="1:7" ht="33" customHeight="1">
      <c r="A59" s="50"/>
      <c r="B59" s="51" t="s">
        <v>54</v>
      </c>
      <c r="C59" s="52">
        <f>SUM(C25:C58)</f>
        <v>11642000</v>
      </c>
      <c r="D59" s="52">
        <f>SUM(D25:D58)</f>
        <v>11167116</v>
      </c>
      <c r="E59" s="52">
        <f>SUM(E44:E58)</f>
        <v>-360995</v>
      </c>
      <c r="F59" s="49">
        <f t="shared" si="4"/>
        <v>0.95920941419000172</v>
      </c>
      <c r="G59" s="53"/>
    </row>
    <row r="60" spans="1:7" ht="44.25" customHeight="1">
      <c r="D60" s="30"/>
    </row>
    <row r="61" spans="1:7" ht="44.25" customHeight="1">
      <c r="B61" s="55" t="s">
        <v>64</v>
      </c>
      <c r="C61" s="55" t="s">
        <v>65</v>
      </c>
    </row>
  </sheetData>
  <mergeCells count="6">
    <mergeCell ref="E1:G1"/>
    <mergeCell ref="B2:G2"/>
    <mergeCell ref="B4:F4"/>
    <mergeCell ref="B5:F5"/>
    <mergeCell ref="B23:G23"/>
    <mergeCell ref="A7:G7"/>
  </mergeCells>
  <pageMargins left="0.62992125984251968" right="0.23622047244094491" top="0.19685039370078741" bottom="0.15748031496062992" header="0.31496062992125984" footer="0.31496062992125984"/>
  <pageSetup paperSize="9" scale="8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topLeftCell="A16" workbookViewId="0">
      <selection activeCell="C17" sqref="C17"/>
    </sheetView>
  </sheetViews>
  <sheetFormatPr defaultColWidth="35.7109375" defaultRowHeight="44.25" customHeight="1"/>
  <cols>
    <col min="1" max="1" width="4.140625" style="80" customWidth="1"/>
    <col min="2" max="2" width="52.7109375" style="60" customWidth="1"/>
    <col min="3" max="3" width="42.5703125" style="145" customWidth="1"/>
    <col min="4" max="4" width="18" style="60" hidden="1" customWidth="1"/>
    <col min="5" max="5" width="33.140625" style="62" customWidth="1"/>
    <col min="6" max="16384" width="35.7109375" style="81"/>
  </cols>
  <sheetData>
    <row r="1" spans="1:5" ht="21.75" customHeight="1">
      <c r="C1" s="158" t="s">
        <v>120</v>
      </c>
      <c r="D1" s="159"/>
      <c r="E1" s="159"/>
    </row>
    <row r="2" spans="1:5" ht="52.5" hidden="1" customHeight="1">
      <c r="C2" s="158" t="s">
        <v>121</v>
      </c>
      <c r="D2" s="159"/>
      <c r="E2" s="159"/>
    </row>
    <row r="3" spans="1:5" ht="44.25" customHeight="1">
      <c r="B3" s="160" t="s">
        <v>241</v>
      </c>
      <c r="C3" s="161"/>
      <c r="D3" s="161"/>
      <c r="E3" s="161"/>
    </row>
    <row r="4" spans="1:5" ht="29.25" customHeight="1">
      <c r="B4" s="160" t="s">
        <v>182</v>
      </c>
      <c r="C4" s="160"/>
      <c r="D4" s="160"/>
      <c r="E4" s="160"/>
    </row>
    <row r="5" spans="1:5" ht="36" customHeight="1">
      <c r="A5" s="173" t="s">
        <v>108</v>
      </c>
      <c r="B5" s="174"/>
      <c r="C5" s="174"/>
      <c r="D5" s="174"/>
      <c r="E5" s="63">
        <v>739000</v>
      </c>
    </row>
    <row r="6" spans="1:5" ht="38.25" customHeight="1">
      <c r="A6" s="175" t="s">
        <v>253</v>
      </c>
      <c r="B6" s="176"/>
      <c r="C6" s="176"/>
      <c r="D6" s="176"/>
      <c r="E6" s="176"/>
    </row>
    <row r="7" spans="1:5" ht="28.5" customHeight="1">
      <c r="A7" s="166" t="s">
        <v>0</v>
      </c>
      <c r="B7" s="167"/>
      <c r="C7" s="167"/>
      <c r="D7" s="167"/>
      <c r="E7" s="167"/>
    </row>
    <row r="8" spans="1:5" ht="35.25" customHeight="1">
      <c r="A8" s="170" t="s">
        <v>11</v>
      </c>
      <c r="B8" s="170" t="s">
        <v>2</v>
      </c>
      <c r="C8" s="164" t="s">
        <v>191</v>
      </c>
      <c r="D8" s="78"/>
      <c r="E8" s="168" t="s">
        <v>70</v>
      </c>
    </row>
    <row r="9" spans="1:5" ht="20.25" customHeight="1">
      <c r="A9" s="172"/>
      <c r="B9" s="171"/>
      <c r="C9" s="165"/>
      <c r="D9" s="79"/>
      <c r="E9" s="169"/>
    </row>
    <row r="10" spans="1:5" ht="38.25" customHeight="1">
      <c r="A10" s="75">
        <v>1</v>
      </c>
      <c r="B10" s="76" t="s">
        <v>183</v>
      </c>
      <c r="C10" s="65">
        <v>12563000</v>
      </c>
      <c r="D10" s="65"/>
      <c r="E10" s="144" t="s">
        <v>250</v>
      </c>
    </row>
    <row r="11" spans="1:5" ht="38.25" customHeight="1">
      <c r="A11" s="75">
        <v>2</v>
      </c>
      <c r="B11" s="76" t="s">
        <v>58</v>
      </c>
      <c r="C11" s="74">
        <v>200000</v>
      </c>
      <c r="D11" s="74"/>
      <c r="E11" s="82"/>
    </row>
    <row r="12" spans="1:5" ht="57.75" customHeight="1">
      <c r="A12" s="75">
        <v>3</v>
      </c>
      <c r="B12" s="76" t="s">
        <v>243</v>
      </c>
      <c r="C12" s="74">
        <v>400000</v>
      </c>
      <c r="D12" s="74"/>
      <c r="E12" s="144" t="s">
        <v>251</v>
      </c>
    </row>
    <row r="13" spans="1:5" ht="38.25" customHeight="1">
      <c r="A13" s="75">
        <v>4</v>
      </c>
      <c r="B13" s="76" t="s">
        <v>185</v>
      </c>
      <c r="C13" s="74">
        <v>60000</v>
      </c>
      <c r="D13" s="74"/>
      <c r="E13" s="82" t="s">
        <v>190</v>
      </c>
    </row>
    <row r="14" spans="1:5" ht="38.25" customHeight="1">
      <c r="A14" s="75">
        <v>5</v>
      </c>
      <c r="B14" s="76" t="s">
        <v>186</v>
      </c>
      <c r="C14" s="74">
        <v>420000</v>
      </c>
      <c r="D14" s="74"/>
      <c r="E14" s="82" t="s">
        <v>187</v>
      </c>
    </row>
    <row r="15" spans="1:5" ht="38.25" customHeight="1">
      <c r="A15" s="75">
        <v>6</v>
      </c>
      <c r="B15" s="76" t="s">
        <v>188</v>
      </c>
      <c r="C15" s="74">
        <v>26400</v>
      </c>
      <c r="D15" s="74"/>
      <c r="E15" s="82" t="s">
        <v>189</v>
      </c>
    </row>
    <row r="16" spans="1:5" ht="49.5" customHeight="1">
      <c r="A16" s="75">
        <v>7</v>
      </c>
      <c r="B16" s="76" t="s">
        <v>184</v>
      </c>
      <c r="C16" s="65">
        <v>4650000</v>
      </c>
      <c r="D16" s="65"/>
      <c r="E16" s="82" t="s">
        <v>207</v>
      </c>
    </row>
    <row r="17" spans="1:5" ht="31.5" customHeight="1">
      <c r="A17" s="75"/>
      <c r="B17" s="76" t="s">
        <v>3</v>
      </c>
      <c r="C17" s="65">
        <f>SUM(C10:D16)</f>
        <v>18319400</v>
      </c>
      <c r="D17" s="65">
        <f>SUM(D10:D16)</f>
        <v>0</v>
      </c>
      <c r="E17" s="57"/>
    </row>
    <row r="18" spans="1:5" ht="31.5" customHeight="1">
      <c r="A18" s="75"/>
      <c r="B18" s="75" t="s">
        <v>69</v>
      </c>
      <c r="C18" s="65">
        <f>C17</f>
        <v>18319400</v>
      </c>
      <c r="D18" s="77"/>
      <c r="E18" s="59"/>
    </row>
    <row r="19" spans="1:5" s="56" customFormat="1" ht="28.5" customHeight="1">
      <c r="A19" s="67"/>
      <c r="B19" s="67"/>
      <c r="C19" s="69"/>
      <c r="D19" s="69"/>
      <c r="E19" s="58"/>
    </row>
    <row r="20" spans="1:5" ht="23.25" customHeight="1">
      <c r="B20" s="162" t="s">
        <v>67</v>
      </c>
      <c r="C20" s="162"/>
      <c r="D20" s="162"/>
    </row>
    <row r="21" spans="1:5" ht="27" customHeight="1">
      <c r="B21" s="163"/>
      <c r="C21" s="163"/>
      <c r="D21" s="163"/>
    </row>
  </sheetData>
  <mergeCells count="13">
    <mergeCell ref="C1:E1"/>
    <mergeCell ref="C2:E2"/>
    <mergeCell ref="B3:E3"/>
    <mergeCell ref="B20:D20"/>
    <mergeCell ref="B21:D21"/>
    <mergeCell ref="C8:C9"/>
    <mergeCell ref="B4:E4"/>
    <mergeCell ref="A7:E7"/>
    <mergeCell ref="E8:E9"/>
    <mergeCell ref="B8:B9"/>
    <mergeCell ref="A8:A9"/>
    <mergeCell ref="A5:D5"/>
    <mergeCell ref="A6:E6"/>
  </mergeCells>
  <pageMargins left="0.70866141732283472" right="0.51181102362204722" top="0.94488188976377963" bottom="0.35433070866141736" header="0.31496062992125984" footer="0.31496062992125984"/>
  <pageSetup paperSize="9" scale="8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opLeftCell="C47" workbookViewId="0">
      <selection activeCell="C47" sqref="A1:XFD1048576"/>
    </sheetView>
  </sheetViews>
  <sheetFormatPr defaultColWidth="35.7109375" defaultRowHeight="44.25" customHeight="1"/>
  <cols>
    <col min="1" max="1" width="4.140625" style="80" customWidth="1"/>
    <col min="2" max="2" width="18.5703125" style="80" customWidth="1"/>
    <col min="3" max="3" width="40.140625" style="145" customWidth="1"/>
    <col min="4" max="4" width="20.5703125" style="145" customWidth="1"/>
    <col min="5" max="5" width="9.7109375" style="145" hidden="1" customWidth="1"/>
    <col min="6" max="6" width="21.42578125" style="145" customWidth="1"/>
    <col min="7" max="7" width="11.7109375" style="145" hidden="1" customWidth="1"/>
    <col min="8" max="8" width="18.28515625" style="83" customWidth="1"/>
    <col min="9" max="9" width="15.42578125" style="145" customWidth="1"/>
    <col min="10" max="10" width="19.140625" style="145" hidden="1" customWidth="1"/>
    <col min="11" max="11" width="18.7109375" style="145" customWidth="1"/>
    <col min="12" max="12" width="16.5703125" style="145" customWidth="1"/>
    <col min="13" max="13" width="12.7109375" style="62" customWidth="1"/>
    <col min="14" max="14" width="13.7109375" style="62" customWidth="1"/>
    <col min="15" max="16384" width="35.7109375" style="81"/>
  </cols>
  <sheetData>
    <row r="1" spans="1:14" ht="28.5" customHeight="1">
      <c r="B1" s="160" t="s">
        <v>242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8.25" customHeight="1"/>
    <row r="3" spans="1:14" ht="24" customHeight="1">
      <c r="C3" s="181" t="s">
        <v>5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63">
        <v>739000</v>
      </c>
    </row>
    <row r="4" spans="1:14" ht="25.5" customHeight="1">
      <c r="C4" s="198" t="s">
        <v>252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1:14" ht="13.5" customHeight="1">
      <c r="A5" s="84"/>
      <c r="B5" s="84"/>
      <c r="C5" s="67"/>
      <c r="D5" s="68"/>
      <c r="E5" s="68"/>
      <c r="F5" s="68"/>
      <c r="G5" s="68"/>
      <c r="H5" s="69"/>
      <c r="I5" s="68"/>
      <c r="J5" s="68"/>
      <c r="K5" s="68"/>
      <c r="L5" s="85"/>
      <c r="M5" s="64"/>
      <c r="N5" s="64"/>
    </row>
    <row r="6" spans="1:14" ht="28.5" customHeight="1">
      <c r="A6" s="205" t="s">
        <v>6</v>
      </c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1:14" ht="29.25" customHeight="1">
      <c r="A7" s="170" t="s">
        <v>11</v>
      </c>
      <c r="B7" s="190" t="s">
        <v>76</v>
      </c>
      <c r="C7" s="170" t="s">
        <v>7</v>
      </c>
      <c r="D7" s="186" t="s">
        <v>231</v>
      </c>
      <c r="E7" s="148"/>
      <c r="F7" s="175" t="s">
        <v>75</v>
      </c>
      <c r="G7" s="175"/>
      <c r="H7" s="175"/>
      <c r="I7" s="175"/>
      <c r="J7" s="175"/>
      <c r="K7" s="175"/>
      <c r="L7" s="175"/>
      <c r="M7" s="212" t="s">
        <v>1</v>
      </c>
      <c r="N7" s="213"/>
    </row>
    <row r="8" spans="1:14" ht="33" customHeight="1">
      <c r="A8" s="178"/>
      <c r="B8" s="209"/>
      <c r="C8" s="172"/>
      <c r="D8" s="187"/>
      <c r="E8" s="70" t="s">
        <v>63</v>
      </c>
      <c r="F8" s="149" t="s">
        <v>72</v>
      </c>
      <c r="G8" s="149"/>
      <c r="H8" s="71" t="s">
        <v>96</v>
      </c>
      <c r="I8" s="149" t="s">
        <v>68</v>
      </c>
      <c r="J8" s="149"/>
      <c r="K8" s="149" t="s">
        <v>73</v>
      </c>
      <c r="L8" s="149" t="s">
        <v>74</v>
      </c>
      <c r="M8" s="214"/>
      <c r="N8" s="215"/>
    </row>
    <row r="9" spans="1:14" ht="26.25" customHeight="1">
      <c r="A9" s="170">
        <v>1</v>
      </c>
      <c r="B9" s="190" t="s">
        <v>77</v>
      </c>
      <c r="C9" s="76" t="s">
        <v>111</v>
      </c>
      <c r="D9" s="65">
        <f>D10+D11</f>
        <v>5027700</v>
      </c>
      <c r="E9" s="46">
        <f t="shared" ref="E9:L9" si="0">E10+E11</f>
        <v>4647700</v>
      </c>
      <c r="F9" s="65">
        <f t="shared" si="0"/>
        <v>5027700</v>
      </c>
      <c r="G9" s="46">
        <f t="shared" si="0"/>
        <v>0</v>
      </c>
      <c r="H9" s="65">
        <f t="shared" si="0"/>
        <v>0</v>
      </c>
      <c r="I9" s="65">
        <f t="shared" si="0"/>
        <v>0</v>
      </c>
      <c r="J9" s="46">
        <f t="shared" si="0"/>
        <v>-4647700</v>
      </c>
      <c r="K9" s="65">
        <f t="shared" si="0"/>
        <v>0</v>
      </c>
      <c r="L9" s="65">
        <f t="shared" si="0"/>
        <v>0</v>
      </c>
      <c r="M9" s="179"/>
      <c r="N9" s="252"/>
    </row>
    <row r="10" spans="1:14" ht="31.5" customHeight="1">
      <c r="A10" s="177"/>
      <c r="B10" s="211"/>
      <c r="C10" s="72" t="s">
        <v>71</v>
      </c>
      <c r="D10" s="46">
        <f>F10+H10+I10+K10+L10</f>
        <v>3861500</v>
      </c>
      <c r="E10" s="46">
        <f>D10-250000-40000</f>
        <v>3571500</v>
      </c>
      <c r="F10" s="46">
        <v>3861500</v>
      </c>
      <c r="G10" s="86"/>
      <c r="H10" s="46"/>
      <c r="I10" s="46"/>
      <c r="J10" s="46">
        <f>I10-E10</f>
        <v>-3571500</v>
      </c>
      <c r="K10" s="46"/>
      <c r="L10" s="46"/>
      <c r="M10" s="182" t="s">
        <v>210</v>
      </c>
      <c r="N10" s="183"/>
    </row>
    <row r="11" spans="1:14" ht="25.5" customHeight="1">
      <c r="A11" s="178"/>
      <c r="B11" s="209"/>
      <c r="C11" s="72" t="s">
        <v>84</v>
      </c>
      <c r="D11" s="46">
        <f t="shared" ref="D11:D47" si="1">F11+H11+I11+K11+L11</f>
        <v>1166200</v>
      </c>
      <c r="E11" s="46">
        <f>D11-80000-10000</f>
        <v>1076200</v>
      </c>
      <c r="F11" s="46">
        <v>1166200</v>
      </c>
      <c r="G11" s="86"/>
      <c r="H11" s="46"/>
      <c r="I11" s="46"/>
      <c r="J11" s="46">
        <f>I11-E11</f>
        <v>-1076200</v>
      </c>
      <c r="K11" s="46"/>
      <c r="L11" s="46"/>
      <c r="M11" s="182" t="s">
        <v>210</v>
      </c>
      <c r="N11" s="183"/>
    </row>
    <row r="12" spans="1:14" ht="50.25" customHeight="1">
      <c r="A12" s="73">
        <v>2</v>
      </c>
      <c r="B12" s="70" t="s">
        <v>81</v>
      </c>
      <c r="C12" s="76" t="s">
        <v>209</v>
      </c>
      <c r="D12" s="87">
        <f t="shared" si="1"/>
        <v>130000</v>
      </c>
      <c r="E12" s="71">
        <f>D12-10000-1000</f>
        <v>119000</v>
      </c>
      <c r="F12" s="87">
        <v>130000</v>
      </c>
      <c r="G12" s="71"/>
      <c r="H12" s="87"/>
      <c r="I12" s="87"/>
      <c r="J12" s="71">
        <f>I12-E12</f>
        <v>-119000</v>
      </c>
      <c r="K12" s="87"/>
      <c r="L12" s="87"/>
      <c r="M12" s="184" t="s">
        <v>212</v>
      </c>
      <c r="N12" s="183"/>
    </row>
    <row r="13" spans="1:14" ht="36.75" customHeight="1">
      <c r="A13" s="73">
        <v>3</v>
      </c>
      <c r="B13" s="70" t="s">
        <v>82</v>
      </c>
      <c r="C13" s="76" t="s">
        <v>83</v>
      </c>
      <c r="D13" s="65">
        <f t="shared" si="1"/>
        <v>276784</v>
      </c>
      <c r="E13" s="46">
        <f>90000+30000-1000</f>
        <v>119000</v>
      </c>
      <c r="F13" s="65">
        <f>100000+150000</f>
        <v>250000</v>
      </c>
      <c r="G13" s="86"/>
      <c r="H13" s="65">
        <v>26784</v>
      </c>
      <c r="I13" s="65"/>
      <c r="J13" s="46">
        <f>I13-E13</f>
        <v>-119000</v>
      </c>
      <c r="K13" s="65"/>
      <c r="L13" s="65"/>
      <c r="M13" s="185" t="s">
        <v>232</v>
      </c>
      <c r="N13" s="183"/>
    </row>
    <row r="14" spans="1:14" ht="27.75" customHeight="1">
      <c r="A14" s="170">
        <v>5</v>
      </c>
      <c r="B14" s="190" t="s">
        <v>89</v>
      </c>
      <c r="C14" s="76" t="s">
        <v>112</v>
      </c>
      <c r="D14" s="65">
        <f>D16+D15</f>
        <v>168220</v>
      </c>
      <c r="E14" s="46">
        <f t="shared" ref="E14:L14" si="2">E16+E15</f>
        <v>114220</v>
      </c>
      <c r="F14" s="65">
        <f t="shared" si="2"/>
        <v>168220</v>
      </c>
      <c r="G14" s="46">
        <f t="shared" si="2"/>
        <v>0</v>
      </c>
      <c r="H14" s="65">
        <f t="shared" si="2"/>
        <v>0</v>
      </c>
      <c r="I14" s="65">
        <f t="shared" si="2"/>
        <v>0</v>
      </c>
      <c r="J14" s="46">
        <f t="shared" si="2"/>
        <v>-114220</v>
      </c>
      <c r="K14" s="65">
        <f t="shared" si="2"/>
        <v>0</v>
      </c>
      <c r="L14" s="65">
        <f t="shared" si="2"/>
        <v>0</v>
      </c>
      <c r="M14" s="203"/>
      <c r="N14" s="253"/>
    </row>
    <row r="15" spans="1:14" ht="77.25" customHeight="1">
      <c r="A15" s="188"/>
      <c r="B15" s="191"/>
      <c r="C15" s="72" t="s">
        <v>218</v>
      </c>
      <c r="D15" s="46">
        <f t="shared" si="1"/>
        <v>143220</v>
      </c>
      <c r="E15" s="46">
        <f>D15-35000-5000</f>
        <v>103220</v>
      </c>
      <c r="F15" s="46">
        <v>143220</v>
      </c>
      <c r="G15" s="86"/>
      <c r="H15" s="46"/>
      <c r="I15" s="46"/>
      <c r="J15" s="46">
        <f t="shared" ref="J15:J20" si="3">I15-E15</f>
        <v>-103220</v>
      </c>
      <c r="K15" s="46"/>
      <c r="L15" s="46"/>
      <c r="M15" s="184" t="s">
        <v>217</v>
      </c>
      <c r="N15" s="183"/>
    </row>
    <row r="16" spans="1:14" ht="48.75" customHeight="1">
      <c r="A16" s="189"/>
      <c r="B16" s="192"/>
      <c r="C16" s="72" t="s">
        <v>90</v>
      </c>
      <c r="D16" s="46">
        <f t="shared" si="1"/>
        <v>25000</v>
      </c>
      <c r="E16" s="46">
        <f>10000+1000</f>
        <v>11000</v>
      </c>
      <c r="F16" s="46">
        <v>25000</v>
      </c>
      <c r="G16" s="86"/>
      <c r="H16" s="46"/>
      <c r="I16" s="46"/>
      <c r="J16" s="46">
        <f t="shared" si="3"/>
        <v>-11000</v>
      </c>
      <c r="K16" s="46"/>
      <c r="L16" s="46"/>
      <c r="M16" s="184"/>
      <c r="N16" s="183"/>
    </row>
    <row r="17" spans="1:14" ht="30" customHeight="1">
      <c r="A17" s="170">
        <v>6</v>
      </c>
      <c r="B17" s="190" t="s">
        <v>86</v>
      </c>
      <c r="C17" s="76" t="s">
        <v>113</v>
      </c>
      <c r="D17" s="65">
        <f>D18+D19+D20+D21</f>
        <v>77500</v>
      </c>
      <c r="E17" s="46">
        <f t="shared" ref="E17:L17" si="4">E18+E19+E20+E21</f>
        <v>33700</v>
      </c>
      <c r="F17" s="65">
        <f t="shared" si="4"/>
        <v>74000</v>
      </c>
      <c r="G17" s="46">
        <f t="shared" si="4"/>
        <v>0</v>
      </c>
      <c r="H17" s="65">
        <f t="shared" si="4"/>
        <v>0</v>
      </c>
      <c r="I17" s="65">
        <f t="shared" si="4"/>
        <v>0</v>
      </c>
      <c r="J17" s="46">
        <f t="shared" si="4"/>
        <v>-33700</v>
      </c>
      <c r="K17" s="65">
        <f t="shared" si="4"/>
        <v>3500</v>
      </c>
      <c r="L17" s="65">
        <f t="shared" si="4"/>
        <v>0</v>
      </c>
      <c r="M17" s="184"/>
      <c r="N17" s="183"/>
    </row>
    <row r="18" spans="1:14" ht="28.5" customHeight="1">
      <c r="A18" s="188"/>
      <c r="B18" s="191"/>
      <c r="C18" s="72" t="s">
        <v>88</v>
      </c>
      <c r="D18" s="46">
        <f t="shared" si="1"/>
        <v>8000</v>
      </c>
      <c r="E18" s="46">
        <f>5700-4000</f>
        <v>1700</v>
      </c>
      <c r="F18" s="46">
        <v>8000</v>
      </c>
      <c r="G18" s="86"/>
      <c r="H18" s="46"/>
      <c r="I18" s="46"/>
      <c r="J18" s="46">
        <f t="shared" si="3"/>
        <v>-1700</v>
      </c>
      <c r="K18" s="46"/>
      <c r="L18" s="46"/>
      <c r="M18" s="184"/>
      <c r="N18" s="183"/>
    </row>
    <row r="19" spans="1:14" ht="31.5" customHeight="1">
      <c r="A19" s="188"/>
      <c r="B19" s="191"/>
      <c r="C19" s="72" t="s">
        <v>22</v>
      </c>
      <c r="D19" s="46">
        <f t="shared" si="1"/>
        <v>16000</v>
      </c>
      <c r="E19" s="46">
        <f>D19-8000</f>
        <v>8000</v>
      </c>
      <c r="F19" s="46">
        <v>16000</v>
      </c>
      <c r="G19" s="86"/>
      <c r="H19" s="46"/>
      <c r="I19" s="46"/>
      <c r="J19" s="46">
        <f t="shared" si="3"/>
        <v>-8000</v>
      </c>
      <c r="K19" s="46"/>
      <c r="L19" s="46"/>
      <c r="M19" s="184" t="s">
        <v>213</v>
      </c>
      <c r="N19" s="183"/>
    </row>
    <row r="20" spans="1:14" ht="28.5" customHeight="1">
      <c r="A20" s="188"/>
      <c r="B20" s="191"/>
      <c r="C20" s="72" t="s">
        <v>181</v>
      </c>
      <c r="D20" s="46">
        <f t="shared" si="1"/>
        <v>23500</v>
      </c>
      <c r="E20" s="46">
        <f>25000-1000</f>
        <v>24000</v>
      </c>
      <c r="F20" s="46">
        <v>20000</v>
      </c>
      <c r="G20" s="86"/>
      <c r="H20" s="46"/>
      <c r="I20" s="46"/>
      <c r="J20" s="46">
        <f t="shared" si="3"/>
        <v>-24000</v>
      </c>
      <c r="K20" s="46">
        <v>3500</v>
      </c>
      <c r="L20" s="46"/>
      <c r="M20" s="184" t="s">
        <v>214</v>
      </c>
      <c r="N20" s="183"/>
    </row>
    <row r="21" spans="1:14" ht="28.5" customHeight="1">
      <c r="A21" s="189"/>
      <c r="B21" s="192"/>
      <c r="C21" s="72" t="s">
        <v>87</v>
      </c>
      <c r="D21" s="46">
        <f t="shared" si="1"/>
        <v>30000</v>
      </c>
      <c r="E21" s="46"/>
      <c r="F21" s="46">
        <v>30000</v>
      </c>
      <c r="G21" s="86"/>
      <c r="H21" s="46"/>
      <c r="I21" s="46"/>
      <c r="J21" s="46"/>
      <c r="K21" s="46"/>
      <c r="L21" s="46"/>
      <c r="M21" s="184" t="s">
        <v>219</v>
      </c>
      <c r="N21" s="183"/>
    </row>
    <row r="22" spans="1:14" ht="32.25" customHeight="1">
      <c r="A22" s="170">
        <v>7</v>
      </c>
      <c r="B22" s="190" t="s">
        <v>91</v>
      </c>
      <c r="C22" s="76" t="s">
        <v>114</v>
      </c>
      <c r="D22" s="65">
        <f>D23+D24+D25+D26+D27+D28+D29+D30+D31+D32+D33+D34</f>
        <v>738000</v>
      </c>
      <c r="E22" s="46">
        <f t="shared" ref="E22:L22" si="5">E23+E24+E25+E26+E27+E28+E29+E30+E31+E32+E33+E34</f>
        <v>141500</v>
      </c>
      <c r="F22" s="65">
        <f t="shared" si="5"/>
        <v>498000</v>
      </c>
      <c r="G22" s="46">
        <f t="shared" si="5"/>
        <v>0</v>
      </c>
      <c r="H22" s="65">
        <f t="shared" si="5"/>
        <v>210000</v>
      </c>
      <c r="I22" s="65">
        <f t="shared" si="5"/>
        <v>0</v>
      </c>
      <c r="J22" s="46">
        <f t="shared" si="5"/>
        <v>-210000</v>
      </c>
      <c r="K22" s="65">
        <f t="shared" si="5"/>
        <v>30000</v>
      </c>
      <c r="L22" s="65">
        <f t="shared" si="5"/>
        <v>0</v>
      </c>
      <c r="M22" s="184"/>
      <c r="N22" s="183"/>
    </row>
    <row r="23" spans="1:14" ht="22.5" customHeight="1">
      <c r="A23" s="193"/>
      <c r="B23" s="191"/>
      <c r="C23" s="70" t="s">
        <v>85</v>
      </c>
      <c r="D23" s="46">
        <f t="shared" si="1"/>
        <v>40000</v>
      </c>
      <c r="E23" s="46">
        <f>D23-10000-10000</f>
        <v>20000</v>
      </c>
      <c r="F23" s="46">
        <v>40000</v>
      </c>
      <c r="G23" s="86"/>
      <c r="H23" s="46"/>
      <c r="I23" s="46"/>
      <c r="J23" s="46"/>
      <c r="K23" s="46"/>
      <c r="L23" s="46"/>
      <c r="M23" s="184"/>
      <c r="N23" s="183"/>
    </row>
    <row r="24" spans="1:14" ht="23.25" customHeight="1">
      <c r="A24" s="193"/>
      <c r="B24" s="191"/>
      <c r="C24" s="70" t="s">
        <v>92</v>
      </c>
      <c r="D24" s="46">
        <f t="shared" si="1"/>
        <v>10000</v>
      </c>
      <c r="E24" s="46">
        <f>D24-50000+10000+10000+4000+1000</f>
        <v>-15000</v>
      </c>
      <c r="F24" s="46">
        <v>10000</v>
      </c>
      <c r="G24" s="86"/>
      <c r="H24" s="46"/>
      <c r="I24" s="46"/>
      <c r="J24" s="46">
        <f>I24-E24</f>
        <v>15000</v>
      </c>
      <c r="K24" s="46"/>
      <c r="L24" s="46"/>
      <c r="M24" s="184"/>
      <c r="N24" s="183"/>
    </row>
    <row r="25" spans="1:14" ht="30" customHeight="1">
      <c r="A25" s="193"/>
      <c r="B25" s="191"/>
      <c r="C25" s="70" t="s">
        <v>93</v>
      </c>
      <c r="D25" s="46">
        <f t="shared" si="1"/>
        <v>10000</v>
      </c>
      <c r="E25" s="46"/>
      <c r="F25" s="46">
        <v>10000</v>
      </c>
      <c r="G25" s="86"/>
      <c r="H25" s="46"/>
      <c r="I25" s="46"/>
      <c r="J25" s="46"/>
      <c r="K25" s="46"/>
      <c r="L25" s="46"/>
      <c r="M25" s="184"/>
      <c r="N25" s="183"/>
    </row>
    <row r="26" spans="1:14" ht="30.75" customHeight="1">
      <c r="A26" s="193"/>
      <c r="B26" s="191"/>
      <c r="C26" s="70" t="s">
        <v>94</v>
      </c>
      <c r="D26" s="46">
        <f t="shared" si="1"/>
        <v>50000</v>
      </c>
      <c r="E26" s="46"/>
      <c r="F26" s="46">
        <v>50000</v>
      </c>
      <c r="G26" s="86"/>
      <c r="H26" s="46"/>
      <c r="I26" s="46"/>
      <c r="J26" s="46"/>
      <c r="K26" s="46"/>
      <c r="L26" s="46"/>
      <c r="M26" s="184"/>
      <c r="N26" s="183"/>
    </row>
    <row r="27" spans="1:14" ht="33.75" customHeight="1">
      <c r="A27" s="193"/>
      <c r="B27" s="191"/>
      <c r="C27" s="70" t="s">
        <v>180</v>
      </c>
      <c r="D27" s="46">
        <f t="shared" si="1"/>
        <v>50000</v>
      </c>
      <c r="E27" s="46">
        <f>D27-25000</f>
        <v>25000</v>
      </c>
      <c r="F27" s="46">
        <v>50000</v>
      </c>
      <c r="G27" s="86"/>
      <c r="H27" s="46"/>
      <c r="I27" s="46"/>
      <c r="J27" s="46">
        <f>I27-E27</f>
        <v>-25000</v>
      </c>
      <c r="K27" s="46"/>
      <c r="L27" s="46"/>
      <c r="M27" s="184"/>
      <c r="N27" s="183"/>
    </row>
    <row r="28" spans="1:14" ht="29.25" customHeight="1">
      <c r="A28" s="193"/>
      <c r="B28" s="191"/>
      <c r="C28" s="70" t="s">
        <v>66</v>
      </c>
      <c r="D28" s="46">
        <f t="shared" si="1"/>
        <v>35000</v>
      </c>
      <c r="E28" s="46">
        <f>D28-5000+2000</f>
        <v>32000</v>
      </c>
      <c r="F28" s="46">
        <v>35000</v>
      </c>
      <c r="G28" s="86"/>
      <c r="H28" s="46"/>
      <c r="I28" s="46"/>
      <c r="J28" s="46">
        <f>I28-E28</f>
        <v>-32000</v>
      </c>
      <c r="K28" s="46"/>
      <c r="L28" s="46"/>
      <c r="M28" s="184" t="s">
        <v>95</v>
      </c>
      <c r="N28" s="183"/>
    </row>
    <row r="29" spans="1:14" ht="37.5" customHeight="1">
      <c r="A29" s="193"/>
      <c r="B29" s="191"/>
      <c r="C29" s="70" t="s">
        <v>216</v>
      </c>
      <c r="D29" s="46">
        <f t="shared" si="1"/>
        <v>150000</v>
      </c>
      <c r="E29" s="46"/>
      <c r="F29" s="46"/>
      <c r="G29" s="86"/>
      <c r="H29" s="46">
        <v>150000</v>
      </c>
      <c r="I29" s="46"/>
      <c r="J29" s="46"/>
      <c r="K29" s="46"/>
      <c r="L29" s="46"/>
      <c r="M29" s="184" t="s">
        <v>215</v>
      </c>
      <c r="N29" s="183"/>
    </row>
    <row r="30" spans="1:14" ht="64.5" customHeight="1">
      <c r="A30" s="193"/>
      <c r="B30" s="191"/>
      <c r="C30" s="70" t="s">
        <v>233</v>
      </c>
      <c r="D30" s="46">
        <v>25000</v>
      </c>
      <c r="E30" s="46">
        <f>D30-20000</f>
        <v>5000</v>
      </c>
      <c r="F30" s="46"/>
      <c r="G30" s="86"/>
      <c r="H30" s="46"/>
      <c r="I30" s="46"/>
      <c r="J30" s="46">
        <f>I30-E30</f>
        <v>-5000</v>
      </c>
      <c r="K30" s="46">
        <v>25000</v>
      </c>
      <c r="L30" s="46"/>
      <c r="M30" s="182"/>
      <c r="N30" s="183"/>
    </row>
    <row r="31" spans="1:14" ht="58.5" customHeight="1">
      <c r="A31" s="193"/>
      <c r="B31" s="191"/>
      <c r="C31" s="70" t="s">
        <v>100</v>
      </c>
      <c r="D31" s="46">
        <f t="shared" si="1"/>
        <v>50000</v>
      </c>
      <c r="E31" s="46"/>
      <c r="F31" s="46">
        <v>50000</v>
      </c>
      <c r="G31" s="86"/>
      <c r="H31" s="46"/>
      <c r="I31" s="46"/>
      <c r="J31" s="46"/>
      <c r="K31" s="46"/>
      <c r="L31" s="46"/>
      <c r="M31" s="182"/>
      <c r="N31" s="183"/>
    </row>
    <row r="32" spans="1:14" ht="57" customHeight="1">
      <c r="A32" s="193"/>
      <c r="B32" s="191"/>
      <c r="C32" s="70" t="s">
        <v>38</v>
      </c>
      <c r="D32" s="46">
        <f t="shared" si="1"/>
        <v>44000</v>
      </c>
      <c r="E32" s="47">
        <f>D32-120000-10000-2000-500</f>
        <v>-88500</v>
      </c>
      <c r="F32" s="46">
        <v>44000</v>
      </c>
      <c r="G32" s="86"/>
      <c r="H32" s="46"/>
      <c r="I32" s="46"/>
      <c r="J32" s="46"/>
      <c r="K32" s="46"/>
      <c r="L32" s="46"/>
      <c r="M32" s="182"/>
      <c r="N32" s="183"/>
    </row>
    <row r="33" spans="1:14" ht="33" customHeight="1">
      <c r="A33" s="193"/>
      <c r="B33" s="191"/>
      <c r="C33" s="70" t="s">
        <v>119</v>
      </c>
      <c r="D33" s="46">
        <f t="shared" si="1"/>
        <v>134000</v>
      </c>
      <c r="E33" s="46">
        <f>75000-10000</f>
        <v>65000</v>
      </c>
      <c r="F33" s="46">
        <v>74000</v>
      </c>
      <c r="G33" s="86"/>
      <c r="H33" s="46">
        <v>60000</v>
      </c>
      <c r="I33" s="46"/>
      <c r="J33" s="46">
        <f t="shared" ref="J33:J45" si="6">I33-E33</f>
        <v>-65000</v>
      </c>
      <c r="K33" s="46"/>
      <c r="L33" s="46"/>
      <c r="M33" s="184"/>
      <c r="N33" s="183"/>
    </row>
    <row r="34" spans="1:14" ht="57" customHeight="1">
      <c r="A34" s="171"/>
      <c r="B34" s="192"/>
      <c r="C34" s="70" t="s">
        <v>28</v>
      </c>
      <c r="D34" s="46">
        <f t="shared" si="1"/>
        <v>140000</v>
      </c>
      <c r="E34" s="46">
        <f>113000-15000</f>
        <v>98000</v>
      </c>
      <c r="F34" s="46">
        <v>135000</v>
      </c>
      <c r="G34" s="86"/>
      <c r="H34" s="46"/>
      <c r="I34" s="46"/>
      <c r="J34" s="46">
        <f t="shared" si="6"/>
        <v>-98000</v>
      </c>
      <c r="K34" s="46">
        <v>5000</v>
      </c>
      <c r="L34" s="46"/>
      <c r="M34" s="184" t="s">
        <v>240</v>
      </c>
      <c r="N34" s="183"/>
    </row>
    <row r="35" spans="1:14" ht="67.5" customHeight="1">
      <c r="A35" s="73">
        <v>8</v>
      </c>
      <c r="B35" s="70" t="s">
        <v>97</v>
      </c>
      <c r="C35" s="76" t="s">
        <v>110</v>
      </c>
      <c r="D35" s="65">
        <f t="shared" si="1"/>
        <v>115000</v>
      </c>
      <c r="E35" s="46"/>
      <c r="F35" s="65">
        <v>115000</v>
      </c>
      <c r="G35" s="86"/>
      <c r="H35" s="65"/>
      <c r="I35" s="65"/>
      <c r="J35" s="46"/>
      <c r="K35" s="65"/>
      <c r="L35" s="65"/>
      <c r="M35" s="184"/>
      <c r="N35" s="183"/>
    </row>
    <row r="36" spans="1:14" ht="74.25" customHeight="1">
      <c r="A36" s="73">
        <v>9</v>
      </c>
      <c r="B36" s="70" t="s">
        <v>98</v>
      </c>
      <c r="C36" s="76" t="s">
        <v>109</v>
      </c>
      <c r="D36" s="65">
        <f t="shared" si="1"/>
        <v>50000</v>
      </c>
      <c r="E36" s="46">
        <f>D36-80000+20000+78000</f>
        <v>68000</v>
      </c>
      <c r="F36" s="65">
        <v>50000</v>
      </c>
      <c r="G36" s="86"/>
      <c r="H36" s="65"/>
      <c r="I36" s="65"/>
      <c r="J36" s="46">
        <f t="shared" si="6"/>
        <v>-68000</v>
      </c>
      <c r="K36" s="65"/>
      <c r="L36" s="65"/>
      <c r="M36" s="184"/>
      <c r="N36" s="183"/>
    </row>
    <row r="37" spans="1:14" ht="43.5" customHeight="1">
      <c r="A37" s="170">
        <v>10</v>
      </c>
      <c r="B37" s="190" t="s">
        <v>103</v>
      </c>
      <c r="C37" s="76" t="s">
        <v>115</v>
      </c>
      <c r="D37" s="65">
        <f>D38+D39</f>
        <v>1062696</v>
      </c>
      <c r="E37" s="46">
        <f t="shared" ref="E37:L37" si="7">E38+E39</f>
        <v>548196</v>
      </c>
      <c r="F37" s="65">
        <f t="shared" si="7"/>
        <v>853080</v>
      </c>
      <c r="G37" s="46">
        <f t="shared" si="7"/>
        <v>0</v>
      </c>
      <c r="H37" s="65">
        <f t="shared" si="7"/>
        <v>209616</v>
      </c>
      <c r="I37" s="65">
        <f t="shared" si="7"/>
        <v>0</v>
      </c>
      <c r="J37" s="46">
        <f t="shared" si="7"/>
        <v>-548196</v>
      </c>
      <c r="K37" s="65">
        <f t="shared" si="7"/>
        <v>0</v>
      </c>
      <c r="L37" s="65">
        <f t="shared" si="7"/>
        <v>0</v>
      </c>
      <c r="M37" s="184"/>
      <c r="N37" s="183"/>
    </row>
    <row r="38" spans="1:14" ht="47.25" customHeight="1">
      <c r="A38" s="188"/>
      <c r="B38" s="191"/>
      <c r="C38" s="70" t="s">
        <v>104</v>
      </c>
      <c r="D38" s="46">
        <f t="shared" si="1"/>
        <v>867396</v>
      </c>
      <c r="E38" s="46">
        <f>D38-525000+500</f>
        <v>342896</v>
      </c>
      <c r="F38" s="46">
        <f>364616+117164+7000+169000</f>
        <v>657780</v>
      </c>
      <c r="G38" s="86"/>
      <c r="H38" s="46">
        <v>209616</v>
      </c>
      <c r="I38" s="46"/>
      <c r="J38" s="46">
        <f t="shared" si="6"/>
        <v>-342896</v>
      </c>
      <c r="K38" s="46"/>
      <c r="L38" s="46"/>
      <c r="M38" s="184"/>
      <c r="N38" s="183"/>
    </row>
    <row r="39" spans="1:14" ht="54" customHeight="1">
      <c r="A39" s="189"/>
      <c r="B39" s="192"/>
      <c r="C39" s="70" t="s">
        <v>222</v>
      </c>
      <c r="D39" s="46">
        <f t="shared" si="1"/>
        <v>195300</v>
      </c>
      <c r="E39" s="46">
        <f>D39+10000</f>
        <v>205300</v>
      </c>
      <c r="F39" s="46">
        <v>195300</v>
      </c>
      <c r="G39" s="86"/>
      <c r="H39" s="46"/>
      <c r="I39" s="46"/>
      <c r="J39" s="46">
        <f t="shared" si="6"/>
        <v>-205300</v>
      </c>
      <c r="K39" s="46"/>
      <c r="L39" s="46"/>
      <c r="M39" s="184" t="s">
        <v>221</v>
      </c>
      <c r="N39" s="183"/>
    </row>
    <row r="40" spans="1:14" ht="35.25" customHeight="1">
      <c r="A40" s="170">
        <v>11</v>
      </c>
      <c r="B40" s="190" t="s">
        <v>106</v>
      </c>
      <c r="C40" s="76" t="s">
        <v>116</v>
      </c>
      <c r="D40" s="65">
        <f>D41+D42</f>
        <v>1600000</v>
      </c>
      <c r="E40" s="46">
        <f t="shared" ref="E40:L40" si="8">E41+E42</f>
        <v>1672000</v>
      </c>
      <c r="F40" s="65">
        <f t="shared" si="8"/>
        <v>1400000</v>
      </c>
      <c r="G40" s="65">
        <f t="shared" si="8"/>
        <v>0</v>
      </c>
      <c r="H40" s="65">
        <f t="shared" si="8"/>
        <v>0</v>
      </c>
      <c r="I40" s="65">
        <f t="shared" si="8"/>
        <v>200000</v>
      </c>
      <c r="J40" s="65">
        <f t="shared" si="8"/>
        <v>-1672000</v>
      </c>
      <c r="K40" s="65">
        <f t="shared" si="8"/>
        <v>0</v>
      </c>
      <c r="L40" s="65">
        <f t="shared" si="8"/>
        <v>0</v>
      </c>
      <c r="M40" s="184"/>
      <c r="N40" s="183"/>
    </row>
    <row r="41" spans="1:14" ht="34.5" customHeight="1">
      <c r="A41" s="188"/>
      <c r="B41" s="191"/>
      <c r="C41" s="70" t="s">
        <v>105</v>
      </c>
      <c r="D41" s="46">
        <f t="shared" si="1"/>
        <v>400000</v>
      </c>
      <c r="E41" s="46"/>
      <c r="F41" s="46">
        <f>450000-250000</f>
        <v>200000</v>
      </c>
      <c r="G41" s="86"/>
      <c r="H41" s="46"/>
      <c r="I41" s="46">
        <f>450000-250000</f>
        <v>200000</v>
      </c>
      <c r="J41" s="46"/>
      <c r="K41" s="46"/>
      <c r="L41" s="46"/>
      <c r="M41" s="184"/>
      <c r="N41" s="183"/>
    </row>
    <row r="42" spans="1:14" ht="60" customHeight="1">
      <c r="A42" s="189"/>
      <c r="B42" s="192"/>
      <c r="C42" s="70" t="s">
        <v>118</v>
      </c>
      <c r="D42" s="46">
        <f t="shared" si="1"/>
        <v>1200000</v>
      </c>
      <c r="E42" s="46">
        <f>D42+330000+8000+134000</f>
        <v>1672000</v>
      </c>
      <c r="F42" s="46">
        <v>1200000</v>
      </c>
      <c r="G42" s="86"/>
      <c r="H42" s="46"/>
      <c r="I42" s="46"/>
      <c r="J42" s="46">
        <f t="shared" si="6"/>
        <v>-1672000</v>
      </c>
      <c r="K42" s="46"/>
      <c r="L42" s="46"/>
      <c r="M42" s="182" t="s">
        <v>244</v>
      </c>
      <c r="N42" s="183"/>
    </row>
    <row r="43" spans="1:14" ht="31.5" customHeight="1">
      <c r="A43" s="170">
        <v>12</v>
      </c>
      <c r="B43" s="190" t="s">
        <v>101</v>
      </c>
      <c r="C43" s="76" t="s">
        <v>117</v>
      </c>
      <c r="D43" s="65">
        <f>D44+D45</f>
        <v>461500</v>
      </c>
      <c r="E43" s="65">
        <f t="shared" ref="E43:L43" si="9">E44+E45</f>
        <v>575500</v>
      </c>
      <c r="F43" s="65">
        <f t="shared" si="9"/>
        <v>435000</v>
      </c>
      <c r="G43" s="65">
        <f t="shared" si="9"/>
        <v>0</v>
      </c>
      <c r="H43" s="65">
        <f t="shared" si="9"/>
        <v>0</v>
      </c>
      <c r="I43" s="65">
        <f t="shared" si="9"/>
        <v>0</v>
      </c>
      <c r="J43" s="65">
        <f t="shared" si="9"/>
        <v>-575500</v>
      </c>
      <c r="K43" s="65">
        <f t="shared" si="9"/>
        <v>26500</v>
      </c>
      <c r="L43" s="65">
        <f t="shared" si="9"/>
        <v>0</v>
      </c>
      <c r="M43" s="182"/>
      <c r="N43" s="183"/>
    </row>
    <row r="44" spans="1:14" ht="33.75" customHeight="1">
      <c r="A44" s="188"/>
      <c r="B44" s="191"/>
      <c r="C44" s="70" t="s">
        <v>107</v>
      </c>
      <c r="D44" s="46">
        <f t="shared" si="1"/>
        <v>95000</v>
      </c>
      <c r="E44" s="46">
        <f>D44+16500+15000</f>
        <v>126500</v>
      </c>
      <c r="F44" s="46">
        <v>95000</v>
      </c>
      <c r="G44" s="86"/>
      <c r="H44" s="46"/>
      <c r="I44" s="46"/>
      <c r="J44" s="46">
        <f t="shared" si="6"/>
        <v>-126500</v>
      </c>
      <c r="K44" s="46"/>
      <c r="L44" s="46"/>
      <c r="M44" s="184"/>
      <c r="N44" s="183"/>
    </row>
    <row r="45" spans="1:14" ht="40.5" customHeight="1">
      <c r="A45" s="189"/>
      <c r="B45" s="192"/>
      <c r="C45" s="70" t="s">
        <v>220</v>
      </c>
      <c r="D45" s="46">
        <f t="shared" si="1"/>
        <v>366500</v>
      </c>
      <c r="E45" s="47">
        <f>D45+82500</f>
        <v>449000</v>
      </c>
      <c r="F45" s="46">
        <v>340000</v>
      </c>
      <c r="G45" s="86"/>
      <c r="H45" s="46"/>
      <c r="I45" s="46"/>
      <c r="J45" s="46">
        <f t="shared" si="6"/>
        <v>-449000</v>
      </c>
      <c r="K45" s="46">
        <v>26500</v>
      </c>
      <c r="L45" s="46"/>
      <c r="M45" s="182"/>
      <c r="N45" s="183"/>
    </row>
    <row r="46" spans="1:14" ht="162.75" customHeight="1">
      <c r="A46" s="73">
        <v>13</v>
      </c>
      <c r="B46" s="70" t="s">
        <v>102</v>
      </c>
      <c r="C46" s="76" t="s">
        <v>239</v>
      </c>
      <c r="D46" s="65">
        <f t="shared" si="1"/>
        <v>100000</v>
      </c>
      <c r="F46" s="65">
        <v>100000</v>
      </c>
      <c r="G46" s="86"/>
      <c r="H46" s="65"/>
      <c r="I46" s="65"/>
      <c r="J46" s="46">
        <f>I46-E32</f>
        <v>88500</v>
      </c>
      <c r="K46" s="65"/>
      <c r="L46" s="65"/>
      <c r="M46" s="184"/>
      <c r="N46" s="183"/>
    </row>
    <row r="47" spans="1:14" ht="67.5" customHeight="1">
      <c r="A47" s="73">
        <v>14</v>
      </c>
      <c r="B47" s="70" t="s">
        <v>99</v>
      </c>
      <c r="C47" s="76" t="s">
        <v>248</v>
      </c>
      <c r="D47" s="65">
        <f t="shared" si="1"/>
        <v>3760000</v>
      </c>
      <c r="E47" s="47">
        <f>D47-70000-8000</f>
        <v>3682000</v>
      </c>
      <c r="F47" s="65">
        <f>3660000-400000+100000</f>
        <v>3360000</v>
      </c>
      <c r="G47" s="86"/>
      <c r="H47" s="65"/>
      <c r="I47" s="65">
        <v>400000</v>
      </c>
      <c r="J47" s="46">
        <f>I47-E47</f>
        <v>-3282000</v>
      </c>
      <c r="K47" s="65"/>
      <c r="L47" s="65"/>
      <c r="M47" s="182" t="s">
        <v>249</v>
      </c>
      <c r="N47" s="183"/>
    </row>
    <row r="48" spans="1:14" ht="70.5" customHeight="1">
      <c r="A48" s="73"/>
      <c r="B48" s="190" t="s">
        <v>74</v>
      </c>
      <c r="C48" s="76" t="s">
        <v>211</v>
      </c>
      <c r="D48" s="65">
        <f>D49+D50+D51</f>
        <v>4752000</v>
      </c>
      <c r="E48" s="65">
        <f t="shared" ref="E48:L48" si="10">E49+E50+E51</f>
        <v>5222000</v>
      </c>
      <c r="F48" s="65">
        <f t="shared" si="10"/>
        <v>102000</v>
      </c>
      <c r="G48" s="65">
        <f t="shared" si="10"/>
        <v>0</v>
      </c>
      <c r="H48" s="65">
        <f t="shared" si="10"/>
        <v>0</v>
      </c>
      <c r="I48" s="65">
        <f t="shared" si="10"/>
        <v>0</v>
      </c>
      <c r="J48" s="65">
        <f t="shared" si="10"/>
        <v>-5222000</v>
      </c>
      <c r="K48" s="65">
        <f t="shared" si="10"/>
        <v>0</v>
      </c>
      <c r="L48" s="65">
        <f t="shared" si="10"/>
        <v>4650000</v>
      </c>
      <c r="M48" s="194"/>
      <c r="N48" s="195"/>
    </row>
    <row r="49" spans="1:14" ht="32.25" customHeight="1">
      <c r="A49" s="73"/>
      <c r="B49" s="191"/>
      <c r="C49" s="72" t="s">
        <v>78</v>
      </c>
      <c r="D49" s="46">
        <f>F49+H49+I49+K49+L49</f>
        <v>4650000</v>
      </c>
      <c r="E49" s="46">
        <f>D49+800000+5000-21000-78000-134000</f>
        <v>5222000</v>
      </c>
      <c r="F49" s="46">
        <v>0</v>
      </c>
      <c r="G49" s="86"/>
      <c r="H49" s="46"/>
      <c r="I49" s="46"/>
      <c r="J49" s="46">
        <f>I49-E49</f>
        <v>-5222000</v>
      </c>
      <c r="K49" s="46"/>
      <c r="L49" s="46">
        <v>4650000</v>
      </c>
      <c r="M49" s="196"/>
      <c r="N49" s="197"/>
    </row>
    <row r="50" spans="1:14" ht="32.25" customHeight="1">
      <c r="A50" s="73"/>
      <c r="B50" s="191"/>
      <c r="C50" s="72" t="s">
        <v>79</v>
      </c>
      <c r="D50" s="46">
        <f>F50+H50+I50+K50+L50</f>
        <v>27000</v>
      </c>
      <c r="E50" s="46"/>
      <c r="F50" s="46">
        <v>27000</v>
      </c>
      <c r="G50" s="86"/>
      <c r="H50" s="46"/>
      <c r="I50" s="46"/>
      <c r="J50" s="46"/>
      <c r="K50" s="46"/>
      <c r="L50" s="46"/>
      <c r="M50" s="196"/>
      <c r="N50" s="197"/>
    </row>
    <row r="51" spans="1:14" ht="33" customHeight="1">
      <c r="A51" s="73"/>
      <c r="B51" s="191"/>
      <c r="C51" s="72" t="s">
        <v>80</v>
      </c>
      <c r="D51" s="46">
        <f>F51+H51+I51+K51+L51</f>
        <v>75000</v>
      </c>
      <c r="E51" s="46"/>
      <c r="F51" s="46">
        <v>75000</v>
      </c>
      <c r="G51" s="86"/>
      <c r="H51" s="46"/>
      <c r="I51" s="46"/>
      <c r="J51" s="46"/>
      <c r="K51" s="46"/>
      <c r="L51" s="46"/>
      <c r="M51" s="196"/>
      <c r="N51" s="197"/>
    </row>
    <row r="52" spans="1:14" ht="33.75" customHeight="1">
      <c r="A52" s="73"/>
      <c r="B52" s="70"/>
      <c r="C52" s="66" t="s">
        <v>54</v>
      </c>
      <c r="D52" s="63">
        <v>18319400</v>
      </c>
      <c r="E52" s="63">
        <f t="shared" ref="E52:L52" si="11">E9+E12+E13+E48+E14+E17+E22+E35+E36+E37+E40+E46+E47+E43</f>
        <v>16942816</v>
      </c>
      <c r="F52" s="63">
        <f>F9+F12+F13+F14+F17+F22+F35+F36+F37+F40+F43+F46+F47+F48</f>
        <v>12563000</v>
      </c>
      <c r="G52" s="63">
        <f t="shared" si="11"/>
        <v>0</v>
      </c>
      <c r="H52" s="63">
        <f t="shared" si="11"/>
        <v>446400</v>
      </c>
      <c r="I52" s="63">
        <f t="shared" si="11"/>
        <v>600000</v>
      </c>
      <c r="J52" s="63">
        <f t="shared" si="11"/>
        <v>-16522816</v>
      </c>
      <c r="K52" s="63">
        <f t="shared" si="11"/>
        <v>60000</v>
      </c>
      <c r="L52" s="63">
        <f t="shared" si="11"/>
        <v>4650000</v>
      </c>
      <c r="M52" s="184"/>
      <c r="N52" s="183"/>
    </row>
    <row r="53" spans="1:14" ht="48" customHeight="1">
      <c r="A53" s="88"/>
      <c r="B53" s="201" t="s">
        <v>223</v>
      </c>
      <c r="C53" s="202"/>
      <c r="D53" s="89"/>
      <c r="E53" s="147"/>
      <c r="F53" s="90">
        <f>F52/7390</f>
        <v>1700</v>
      </c>
      <c r="I53" s="61"/>
      <c r="J53" s="61"/>
      <c r="K53" s="61"/>
      <c r="L53" s="61"/>
    </row>
    <row r="54" spans="1:14" ht="24" customHeight="1">
      <c r="I54" s="61"/>
      <c r="J54" s="61"/>
      <c r="K54" s="61"/>
      <c r="L54" s="61"/>
    </row>
    <row r="55" spans="1:14" ht="23.25" customHeight="1">
      <c r="C55" s="163" t="s">
        <v>67</v>
      </c>
      <c r="D55" s="163"/>
      <c r="E55" s="163"/>
      <c r="F55" s="163"/>
      <c r="G55" s="163"/>
      <c r="H55" s="163"/>
      <c r="I55" s="163"/>
      <c r="J55" s="146"/>
      <c r="K55" s="146"/>
    </row>
    <row r="56" spans="1:14" ht="27" customHeight="1"/>
  </sheetData>
  <autoFilter ref="A8:N53">
    <filterColumn colId="12" showButton="0"/>
  </autoFilter>
  <mergeCells count="68">
    <mergeCell ref="B1:N1"/>
    <mergeCell ref="M17:N17"/>
    <mergeCell ref="M22:N22"/>
    <mergeCell ref="M35:N35"/>
    <mergeCell ref="M37:N37"/>
    <mergeCell ref="B9:B11"/>
    <mergeCell ref="M23:N23"/>
    <mergeCell ref="M31:N31"/>
    <mergeCell ref="M32:N32"/>
    <mergeCell ref="M33:N33"/>
    <mergeCell ref="M34:N34"/>
    <mergeCell ref="M36:N36"/>
    <mergeCell ref="M15:N15"/>
    <mergeCell ref="M7:N8"/>
    <mergeCell ref="M48:N51"/>
    <mergeCell ref="M29:N29"/>
    <mergeCell ref="C4:N4"/>
    <mergeCell ref="M27:N27"/>
    <mergeCell ref="B53:C53"/>
    <mergeCell ref="M52:N52"/>
    <mergeCell ref="M16:N16"/>
    <mergeCell ref="M25:N25"/>
    <mergeCell ref="M26:N26"/>
    <mergeCell ref="M21:N21"/>
    <mergeCell ref="B48:B51"/>
    <mergeCell ref="M14:N14"/>
    <mergeCell ref="C7:C8"/>
    <mergeCell ref="A6:N6"/>
    <mergeCell ref="A7:A8"/>
    <mergeCell ref="B7:B8"/>
    <mergeCell ref="A43:A45"/>
    <mergeCell ref="B43:B45"/>
    <mergeCell ref="M47:N47"/>
    <mergeCell ref="M41:N41"/>
    <mergeCell ref="M45:N45"/>
    <mergeCell ref="M46:N46"/>
    <mergeCell ref="M43:N43"/>
    <mergeCell ref="M44:N44"/>
    <mergeCell ref="A40:A42"/>
    <mergeCell ref="B40:B42"/>
    <mergeCell ref="M42:N42"/>
    <mergeCell ref="A37:A39"/>
    <mergeCell ref="B37:B39"/>
    <mergeCell ref="M39:N39"/>
    <mergeCell ref="M38:N38"/>
    <mergeCell ref="M40:N40"/>
    <mergeCell ref="A14:A16"/>
    <mergeCell ref="B14:B16"/>
    <mergeCell ref="A17:A21"/>
    <mergeCell ref="B17:B21"/>
    <mergeCell ref="A22:A34"/>
    <mergeCell ref="B22:B34"/>
    <mergeCell ref="A9:A11"/>
    <mergeCell ref="M9:N9"/>
    <mergeCell ref="C3:M3"/>
    <mergeCell ref="C55:I55"/>
    <mergeCell ref="M10:N10"/>
    <mergeCell ref="M11:N11"/>
    <mergeCell ref="M12:N12"/>
    <mergeCell ref="M13:N13"/>
    <mergeCell ref="M18:N18"/>
    <mergeCell ref="M19:N19"/>
    <mergeCell ref="M20:N20"/>
    <mergeCell ref="M24:N24"/>
    <mergeCell ref="D7:D8"/>
    <mergeCell ref="F7:L7"/>
    <mergeCell ref="M28:N28"/>
    <mergeCell ref="M30:N30"/>
  </mergeCells>
  <pageMargins left="0.78740157480314965" right="0.11811023622047245" top="0.78740157480314965" bottom="0.78740157480314965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opLeftCell="A49" workbookViewId="0">
      <selection activeCell="D9" sqref="D9"/>
    </sheetView>
  </sheetViews>
  <sheetFormatPr defaultColWidth="35.7109375" defaultRowHeight="44.25" customHeight="1"/>
  <cols>
    <col min="1" max="1" width="4.140625" style="80" customWidth="1"/>
    <col min="2" max="2" width="18.5703125" style="80" customWidth="1"/>
    <col min="3" max="3" width="40.140625" style="139" customWidth="1"/>
    <col min="4" max="4" width="36.85546875" style="145" customWidth="1"/>
    <col min="5" max="5" width="11.7109375" style="139" hidden="1" customWidth="1"/>
    <col min="6" max="6" width="12.7109375" style="62" customWidth="1"/>
    <col min="7" max="7" width="13.7109375" style="62" customWidth="1"/>
    <col min="8" max="16384" width="35.7109375" style="81"/>
  </cols>
  <sheetData>
    <row r="1" spans="1:7" ht="28.5" customHeight="1">
      <c r="B1" s="160" t="s">
        <v>246</v>
      </c>
      <c r="C1" s="210"/>
      <c r="D1" s="210"/>
      <c r="E1" s="210"/>
      <c r="F1" s="210"/>
      <c r="G1" s="210"/>
    </row>
    <row r="2" spans="1:7" ht="8.25" customHeight="1"/>
    <row r="3" spans="1:7" ht="24" customHeight="1">
      <c r="C3" s="181" t="s">
        <v>5</v>
      </c>
      <c r="D3" s="181"/>
      <c r="E3" s="181"/>
      <c r="F3" s="181"/>
      <c r="G3" s="63">
        <v>739000</v>
      </c>
    </row>
    <row r="4" spans="1:7" ht="39.75" customHeight="1">
      <c r="C4" s="198" t="s">
        <v>252</v>
      </c>
      <c r="D4" s="199"/>
      <c r="E4" s="199"/>
      <c r="F4" s="199"/>
      <c r="G4" s="200"/>
    </row>
    <row r="5" spans="1:7" ht="22.5" customHeight="1">
      <c r="A5" s="84"/>
      <c r="B5" s="84"/>
      <c r="C5" s="67"/>
      <c r="D5" s="68"/>
      <c r="E5" s="68"/>
      <c r="F5" s="64"/>
      <c r="G5" s="64"/>
    </row>
    <row r="6" spans="1:7" ht="50.25" customHeight="1">
      <c r="A6" s="140" t="s">
        <v>11</v>
      </c>
      <c r="B6" s="141" t="s">
        <v>76</v>
      </c>
      <c r="C6" s="142" t="s">
        <v>7</v>
      </c>
      <c r="D6" s="221" t="s">
        <v>245</v>
      </c>
      <c r="E6" s="222"/>
      <c r="F6" s="221" t="s">
        <v>1</v>
      </c>
      <c r="G6" s="222"/>
    </row>
    <row r="7" spans="1:7" ht="26.25" customHeight="1">
      <c r="A7" s="170">
        <v>1</v>
      </c>
      <c r="B7" s="190" t="s">
        <v>77</v>
      </c>
      <c r="C7" s="76" t="s">
        <v>111</v>
      </c>
      <c r="D7" s="65">
        <f t="shared" ref="D7:E7" si="0">D8+D9</f>
        <v>5027700</v>
      </c>
      <c r="E7" s="46">
        <f t="shared" si="0"/>
        <v>0</v>
      </c>
      <c r="F7" s="179"/>
      <c r="G7" s="180"/>
    </row>
    <row r="8" spans="1:7" ht="31.5" customHeight="1">
      <c r="A8" s="177"/>
      <c r="B8" s="211"/>
      <c r="C8" s="72" t="s">
        <v>71</v>
      </c>
      <c r="D8" s="46">
        <v>3861500</v>
      </c>
      <c r="E8" s="86"/>
      <c r="F8" s="182" t="s">
        <v>210</v>
      </c>
      <c r="G8" s="183"/>
    </row>
    <row r="9" spans="1:7" ht="25.5" customHeight="1">
      <c r="A9" s="178"/>
      <c r="B9" s="209"/>
      <c r="C9" s="72" t="s">
        <v>84</v>
      </c>
      <c r="D9" s="46">
        <v>1166200</v>
      </c>
      <c r="E9" s="86"/>
      <c r="F9" s="182" t="s">
        <v>210</v>
      </c>
      <c r="G9" s="183"/>
    </row>
    <row r="10" spans="1:7" ht="50.25" customHeight="1">
      <c r="A10" s="73">
        <v>2</v>
      </c>
      <c r="B10" s="70" t="s">
        <v>81</v>
      </c>
      <c r="C10" s="76" t="s">
        <v>209</v>
      </c>
      <c r="D10" s="87">
        <v>130000</v>
      </c>
      <c r="E10" s="71"/>
      <c r="F10" s="184" t="s">
        <v>212</v>
      </c>
      <c r="G10" s="183"/>
    </row>
    <row r="11" spans="1:7" ht="36.75" customHeight="1">
      <c r="A11" s="73">
        <v>3</v>
      </c>
      <c r="B11" s="70" t="s">
        <v>82</v>
      </c>
      <c r="C11" s="76" t="s">
        <v>83</v>
      </c>
      <c r="D11" s="65">
        <f>100000+150000</f>
        <v>250000</v>
      </c>
      <c r="E11" s="86"/>
      <c r="F11" s="185" t="s">
        <v>232</v>
      </c>
      <c r="G11" s="183"/>
    </row>
    <row r="12" spans="1:7" ht="27.75" customHeight="1">
      <c r="A12" s="170">
        <v>5</v>
      </c>
      <c r="B12" s="190" t="s">
        <v>89</v>
      </c>
      <c r="C12" s="76" t="s">
        <v>112</v>
      </c>
      <c r="D12" s="65">
        <f t="shared" ref="D12:E12" si="1">D14+D13</f>
        <v>168220</v>
      </c>
      <c r="E12" s="46">
        <f t="shared" si="1"/>
        <v>0</v>
      </c>
      <c r="F12" s="203"/>
      <c r="G12" s="204"/>
    </row>
    <row r="13" spans="1:7" ht="77.25" customHeight="1">
      <c r="A13" s="188"/>
      <c r="B13" s="191"/>
      <c r="C13" s="72" t="s">
        <v>218</v>
      </c>
      <c r="D13" s="46">
        <v>143220</v>
      </c>
      <c r="E13" s="86"/>
      <c r="F13" s="184" t="s">
        <v>217</v>
      </c>
      <c r="G13" s="183"/>
    </row>
    <row r="14" spans="1:7" ht="48.75" customHeight="1">
      <c r="A14" s="189"/>
      <c r="B14" s="192"/>
      <c r="C14" s="72" t="s">
        <v>90</v>
      </c>
      <c r="D14" s="46">
        <v>25000</v>
      </c>
      <c r="E14" s="86"/>
      <c r="F14" s="184"/>
      <c r="G14" s="183"/>
    </row>
    <row r="15" spans="1:7" ht="30" customHeight="1">
      <c r="A15" s="170">
        <v>6</v>
      </c>
      <c r="B15" s="190" t="s">
        <v>86</v>
      </c>
      <c r="C15" s="76" t="s">
        <v>113</v>
      </c>
      <c r="D15" s="65">
        <f t="shared" ref="D15:E15" si="2">D16+D17+D18+D19</f>
        <v>74000</v>
      </c>
      <c r="E15" s="46">
        <f t="shared" si="2"/>
        <v>0</v>
      </c>
      <c r="F15" s="184"/>
      <c r="G15" s="183"/>
    </row>
    <row r="16" spans="1:7" ht="28.5" customHeight="1">
      <c r="A16" s="188"/>
      <c r="B16" s="191"/>
      <c r="C16" s="72" t="s">
        <v>88</v>
      </c>
      <c r="D16" s="46">
        <v>8000</v>
      </c>
      <c r="E16" s="86"/>
      <c r="F16" s="184"/>
      <c r="G16" s="183"/>
    </row>
    <row r="17" spans="1:7" ht="31.5" customHeight="1">
      <c r="A17" s="188"/>
      <c r="B17" s="191"/>
      <c r="C17" s="72" t="s">
        <v>22</v>
      </c>
      <c r="D17" s="46">
        <v>16000</v>
      </c>
      <c r="E17" s="86"/>
      <c r="F17" s="184" t="s">
        <v>213</v>
      </c>
      <c r="G17" s="183"/>
    </row>
    <row r="18" spans="1:7" ht="28.5" customHeight="1">
      <c r="A18" s="188"/>
      <c r="B18" s="191"/>
      <c r="C18" s="72" t="s">
        <v>181</v>
      </c>
      <c r="D18" s="46">
        <v>20000</v>
      </c>
      <c r="E18" s="86"/>
      <c r="F18" s="184" t="s">
        <v>214</v>
      </c>
      <c r="G18" s="183"/>
    </row>
    <row r="19" spans="1:7" ht="28.5" customHeight="1">
      <c r="A19" s="189"/>
      <c r="B19" s="192"/>
      <c r="C19" s="72" t="s">
        <v>87</v>
      </c>
      <c r="D19" s="46">
        <v>30000</v>
      </c>
      <c r="E19" s="86"/>
      <c r="F19" s="184" t="s">
        <v>219</v>
      </c>
      <c r="G19" s="183"/>
    </row>
    <row r="20" spans="1:7" ht="32.25" customHeight="1">
      <c r="A20" s="170">
        <v>7</v>
      </c>
      <c r="B20" s="190" t="s">
        <v>91</v>
      </c>
      <c r="C20" s="76" t="s">
        <v>114</v>
      </c>
      <c r="D20" s="65">
        <f>D21+D22+D23+D24+D25+D26+D27+D28+D29+D30+D31+D32</f>
        <v>498000</v>
      </c>
      <c r="E20" s="46">
        <f>E21+E22+E23+E24+E25+E26+E27+E28+E29+E30+E31+E32</f>
        <v>0</v>
      </c>
      <c r="F20" s="184"/>
      <c r="G20" s="183"/>
    </row>
    <row r="21" spans="1:7" ht="22.5" customHeight="1">
      <c r="A21" s="193"/>
      <c r="B21" s="191"/>
      <c r="C21" s="70" t="s">
        <v>85</v>
      </c>
      <c r="D21" s="46">
        <v>40000</v>
      </c>
      <c r="E21" s="86"/>
      <c r="F21" s="184"/>
      <c r="G21" s="183"/>
    </row>
    <row r="22" spans="1:7" ht="23.25" customHeight="1">
      <c r="A22" s="193"/>
      <c r="B22" s="191"/>
      <c r="C22" s="70" t="s">
        <v>92</v>
      </c>
      <c r="D22" s="46">
        <v>10000</v>
      </c>
      <c r="E22" s="86"/>
      <c r="F22" s="184"/>
      <c r="G22" s="183"/>
    </row>
    <row r="23" spans="1:7" ht="30" customHeight="1">
      <c r="A23" s="193"/>
      <c r="B23" s="191"/>
      <c r="C23" s="70" t="s">
        <v>93</v>
      </c>
      <c r="D23" s="46">
        <v>10000</v>
      </c>
      <c r="E23" s="86"/>
      <c r="F23" s="184"/>
      <c r="G23" s="183"/>
    </row>
    <row r="24" spans="1:7" ht="30.75" customHeight="1">
      <c r="A24" s="193"/>
      <c r="B24" s="191"/>
      <c r="C24" s="70" t="s">
        <v>94</v>
      </c>
      <c r="D24" s="46">
        <v>50000</v>
      </c>
      <c r="E24" s="86"/>
      <c r="F24" s="184"/>
      <c r="G24" s="183"/>
    </row>
    <row r="25" spans="1:7" ht="33.75" customHeight="1">
      <c r="A25" s="193"/>
      <c r="B25" s="191"/>
      <c r="C25" s="70" t="s">
        <v>180</v>
      </c>
      <c r="D25" s="46">
        <v>50000</v>
      </c>
      <c r="E25" s="86"/>
      <c r="F25" s="184"/>
      <c r="G25" s="183"/>
    </row>
    <row r="26" spans="1:7" ht="29.25" customHeight="1">
      <c r="A26" s="193"/>
      <c r="B26" s="191"/>
      <c r="C26" s="70" t="s">
        <v>66</v>
      </c>
      <c r="D26" s="46">
        <v>35000</v>
      </c>
      <c r="E26" s="86"/>
      <c r="F26" s="184" t="s">
        <v>95</v>
      </c>
      <c r="G26" s="183"/>
    </row>
    <row r="27" spans="1:7" ht="37.5" customHeight="1">
      <c r="A27" s="193"/>
      <c r="B27" s="191"/>
      <c r="C27" s="70" t="s">
        <v>216</v>
      </c>
      <c r="D27" s="46">
        <v>0</v>
      </c>
      <c r="E27" s="86"/>
      <c r="F27" s="219" t="s">
        <v>215</v>
      </c>
      <c r="G27" s="220"/>
    </row>
    <row r="28" spans="1:7" ht="64.5" customHeight="1">
      <c r="A28" s="193"/>
      <c r="B28" s="191"/>
      <c r="C28" s="70" t="s">
        <v>233</v>
      </c>
      <c r="D28" s="46">
        <v>0</v>
      </c>
      <c r="E28" s="86"/>
      <c r="F28" s="216"/>
      <c r="G28" s="217"/>
    </row>
    <row r="29" spans="1:7" ht="58.5" customHeight="1">
      <c r="A29" s="193"/>
      <c r="B29" s="191"/>
      <c r="C29" s="70" t="s">
        <v>100</v>
      </c>
      <c r="D29" s="46">
        <v>50000</v>
      </c>
      <c r="E29" s="86"/>
      <c r="F29" s="182"/>
      <c r="G29" s="183"/>
    </row>
    <row r="30" spans="1:7" ht="57" customHeight="1">
      <c r="A30" s="193"/>
      <c r="B30" s="191"/>
      <c r="C30" s="70" t="s">
        <v>38</v>
      </c>
      <c r="D30" s="46">
        <v>44000</v>
      </c>
      <c r="E30" s="86"/>
      <c r="F30" s="182"/>
      <c r="G30" s="183"/>
    </row>
    <row r="31" spans="1:7" ht="33" customHeight="1">
      <c r="A31" s="193"/>
      <c r="B31" s="191"/>
      <c r="C31" s="70" t="s">
        <v>119</v>
      </c>
      <c r="D31" s="46">
        <v>74000</v>
      </c>
      <c r="E31" s="86"/>
      <c r="F31" s="184"/>
      <c r="G31" s="183"/>
    </row>
    <row r="32" spans="1:7" ht="57" customHeight="1">
      <c r="A32" s="171"/>
      <c r="B32" s="192"/>
      <c r="C32" s="70" t="s">
        <v>28</v>
      </c>
      <c r="D32" s="46">
        <v>135000</v>
      </c>
      <c r="E32" s="86"/>
      <c r="F32" s="184" t="s">
        <v>240</v>
      </c>
      <c r="G32" s="183"/>
    </row>
    <row r="33" spans="1:7" ht="67.5" customHeight="1">
      <c r="A33" s="73">
        <v>8</v>
      </c>
      <c r="B33" s="70" t="s">
        <v>97</v>
      </c>
      <c r="C33" s="76" t="s">
        <v>110</v>
      </c>
      <c r="D33" s="65">
        <v>115000</v>
      </c>
      <c r="E33" s="86"/>
      <c r="F33" s="184"/>
      <c r="G33" s="183"/>
    </row>
    <row r="34" spans="1:7" ht="74.25" customHeight="1">
      <c r="A34" s="73">
        <v>9</v>
      </c>
      <c r="B34" s="70" t="s">
        <v>98</v>
      </c>
      <c r="C34" s="76" t="s">
        <v>109</v>
      </c>
      <c r="D34" s="65">
        <v>50000</v>
      </c>
      <c r="E34" s="86"/>
      <c r="F34" s="184"/>
      <c r="G34" s="183"/>
    </row>
    <row r="35" spans="1:7" ht="43.5" customHeight="1">
      <c r="A35" s="170">
        <v>10</v>
      </c>
      <c r="B35" s="190" t="s">
        <v>103</v>
      </c>
      <c r="C35" s="76" t="s">
        <v>115</v>
      </c>
      <c r="D35" s="65">
        <f t="shared" ref="D35:E35" si="3">D36+D37</f>
        <v>853080</v>
      </c>
      <c r="E35" s="46">
        <f t="shared" si="3"/>
        <v>0</v>
      </c>
      <c r="F35" s="184"/>
      <c r="G35" s="183"/>
    </row>
    <row r="36" spans="1:7" ht="47.25" customHeight="1">
      <c r="A36" s="188"/>
      <c r="B36" s="191"/>
      <c r="C36" s="70" t="s">
        <v>104</v>
      </c>
      <c r="D36" s="46">
        <f>488780+169000</f>
        <v>657780</v>
      </c>
      <c r="E36" s="86"/>
      <c r="F36" s="184"/>
      <c r="G36" s="183"/>
    </row>
    <row r="37" spans="1:7" ht="54" customHeight="1">
      <c r="A37" s="189"/>
      <c r="B37" s="192"/>
      <c r="C37" s="70" t="s">
        <v>222</v>
      </c>
      <c r="D37" s="46">
        <v>195300</v>
      </c>
      <c r="E37" s="86"/>
      <c r="F37" s="184" t="s">
        <v>221</v>
      </c>
      <c r="G37" s="183"/>
    </row>
    <row r="38" spans="1:7" ht="35.25" customHeight="1">
      <c r="A38" s="170">
        <v>11</v>
      </c>
      <c r="B38" s="190" t="s">
        <v>106</v>
      </c>
      <c r="C38" s="76" t="s">
        <v>116</v>
      </c>
      <c r="D38" s="65">
        <f t="shared" ref="D38:E38" si="4">D39+D40</f>
        <v>1400000</v>
      </c>
      <c r="E38" s="65">
        <f t="shared" si="4"/>
        <v>0</v>
      </c>
      <c r="F38" s="184"/>
      <c r="G38" s="183"/>
    </row>
    <row r="39" spans="1:7" ht="34.5" customHeight="1">
      <c r="A39" s="188"/>
      <c r="B39" s="191"/>
      <c r="C39" s="70" t="s">
        <v>105</v>
      </c>
      <c r="D39" s="46">
        <f>450000-250000</f>
        <v>200000</v>
      </c>
      <c r="E39" s="86"/>
      <c r="F39" s="184"/>
      <c r="G39" s="183"/>
    </row>
    <row r="40" spans="1:7" ht="60" customHeight="1">
      <c r="A40" s="189"/>
      <c r="B40" s="192"/>
      <c r="C40" s="70" t="s">
        <v>118</v>
      </c>
      <c r="D40" s="46">
        <v>1200000</v>
      </c>
      <c r="E40" s="86"/>
      <c r="F40" s="182" t="s">
        <v>244</v>
      </c>
      <c r="G40" s="183"/>
    </row>
    <row r="41" spans="1:7" ht="31.5" customHeight="1">
      <c r="A41" s="170">
        <v>12</v>
      </c>
      <c r="B41" s="190" t="s">
        <v>101</v>
      </c>
      <c r="C41" s="76" t="s">
        <v>117</v>
      </c>
      <c r="D41" s="65">
        <f t="shared" ref="D41:E41" si="5">D42+D43</f>
        <v>435000</v>
      </c>
      <c r="E41" s="65">
        <f t="shared" si="5"/>
        <v>0</v>
      </c>
      <c r="F41" s="182"/>
      <c r="G41" s="183"/>
    </row>
    <row r="42" spans="1:7" ht="33.75" customHeight="1">
      <c r="A42" s="188"/>
      <c r="B42" s="191"/>
      <c r="C42" s="70" t="s">
        <v>107</v>
      </c>
      <c r="D42" s="46">
        <v>95000</v>
      </c>
      <c r="E42" s="86"/>
      <c r="F42" s="184"/>
      <c r="G42" s="183"/>
    </row>
    <row r="43" spans="1:7" ht="40.5" customHeight="1">
      <c r="A43" s="189"/>
      <c r="B43" s="192"/>
      <c r="C43" s="70" t="s">
        <v>220</v>
      </c>
      <c r="D43" s="46">
        <v>340000</v>
      </c>
      <c r="E43" s="86"/>
      <c r="F43" s="182"/>
      <c r="G43" s="183"/>
    </row>
    <row r="44" spans="1:7" ht="162.75" customHeight="1">
      <c r="A44" s="73">
        <v>13</v>
      </c>
      <c r="B44" s="70" t="s">
        <v>102</v>
      </c>
      <c r="C44" s="76" t="s">
        <v>239</v>
      </c>
      <c r="D44" s="65">
        <v>100000</v>
      </c>
      <c r="E44" s="86"/>
      <c r="F44" s="184"/>
      <c r="G44" s="183"/>
    </row>
    <row r="45" spans="1:7" ht="67.5" customHeight="1">
      <c r="A45" s="73">
        <v>14</v>
      </c>
      <c r="B45" s="70" t="s">
        <v>99</v>
      </c>
      <c r="C45" s="76" t="s">
        <v>248</v>
      </c>
      <c r="D45" s="65">
        <f>3660000-400000+100000</f>
        <v>3360000</v>
      </c>
      <c r="E45" s="86"/>
      <c r="F45" s="182" t="s">
        <v>249</v>
      </c>
      <c r="G45" s="183"/>
    </row>
    <row r="46" spans="1:7" ht="70.5" customHeight="1">
      <c r="A46" s="73"/>
      <c r="B46" s="190" t="s">
        <v>74</v>
      </c>
      <c r="C46" s="76" t="s">
        <v>211</v>
      </c>
      <c r="D46" s="65">
        <f t="shared" ref="D46:E46" si="6">D47+D48+D49</f>
        <v>102000</v>
      </c>
      <c r="E46" s="65">
        <f t="shared" si="6"/>
        <v>0</v>
      </c>
      <c r="F46" s="194"/>
      <c r="G46" s="195"/>
    </row>
    <row r="47" spans="1:7" ht="32.25" customHeight="1">
      <c r="A47" s="73"/>
      <c r="B47" s="191"/>
      <c r="C47" s="72" t="s">
        <v>78</v>
      </c>
      <c r="D47" s="46">
        <v>0</v>
      </c>
      <c r="E47" s="86"/>
      <c r="F47" s="196"/>
      <c r="G47" s="197"/>
    </row>
    <row r="48" spans="1:7" ht="32.25" customHeight="1">
      <c r="A48" s="73"/>
      <c r="B48" s="191"/>
      <c r="C48" s="72" t="s">
        <v>79</v>
      </c>
      <c r="D48" s="46">
        <v>27000</v>
      </c>
      <c r="E48" s="86"/>
      <c r="F48" s="196"/>
      <c r="G48" s="197"/>
    </row>
    <row r="49" spans="1:7" ht="33" customHeight="1">
      <c r="A49" s="73"/>
      <c r="B49" s="191"/>
      <c r="C49" s="72" t="s">
        <v>80</v>
      </c>
      <c r="D49" s="46">
        <v>75000</v>
      </c>
      <c r="E49" s="86"/>
      <c r="F49" s="196"/>
      <c r="G49" s="197"/>
    </row>
    <row r="50" spans="1:7" ht="33.75" customHeight="1">
      <c r="A50" s="73"/>
      <c r="B50" s="70"/>
      <c r="C50" s="66" t="s">
        <v>54</v>
      </c>
      <c r="D50" s="63">
        <f>D7+D10+D11+D12+D15+D20+D33+D34+D35+D38+D44+D45+D46+D41</f>
        <v>12563000</v>
      </c>
      <c r="E50" s="63">
        <f>E7+E10+E11+E46+E12+E15+E20+E33+E34+E35+E38+E44+E45+E41</f>
        <v>0</v>
      </c>
      <c r="F50" s="184"/>
      <c r="G50" s="183"/>
    </row>
    <row r="51" spans="1:7" ht="48" customHeight="1">
      <c r="A51" s="88"/>
      <c r="B51" s="201" t="s">
        <v>223</v>
      </c>
      <c r="C51" s="202"/>
      <c r="D51" s="143">
        <f>D50/7390</f>
        <v>1700</v>
      </c>
    </row>
    <row r="52" spans="1:7" ht="24" customHeight="1"/>
    <row r="53" spans="1:7" ht="41.25" customHeight="1">
      <c r="B53" s="162" t="s">
        <v>67</v>
      </c>
      <c r="C53" s="218"/>
      <c r="D53" s="218"/>
      <c r="E53" s="218"/>
      <c r="F53" s="218"/>
      <c r="G53" s="218"/>
    </row>
    <row r="54" spans="1:7" ht="27" customHeight="1"/>
  </sheetData>
  <mergeCells count="63">
    <mergeCell ref="F10:G10"/>
    <mergeCell ref="B1:G1"/>
    <mergeCell ref="C3:F3"/>
    <mergeCell ref="C4:G4"/>
    <mergeCell ref="F6:G6"/>
    <mergeCell ref="D6:E6"/>
    <mergeCell ref="A7:A9"/>
    <mergeCell ref="B7:B9"/>
    <mergeCell ref="F7:G7"/>
    <mergeCell ref="F8:G8"/>
    <mergeCell ref="F9:G9"/>
    <mergeCell ref="A12:A14"/>
    <mergeCell ref="B12:B14"/>
    <mergeCell ref="F12:G12"/>
    <mergeCell ref="F13:G13"/>
    <mergeCell ref="F14:G14"/>
    <mergeCell ref="A15:A19"/>
    <mergeCell ref="B15:B19"/>
    <mergeCell ref="F15:G15"/>
    <mergeCell ref="F16:G16"/>
    <mergeCell ref="F17:G17"/>
    <mergeCell ref="F18:G18"/>
    <mergeCell ref="F19:G19"/>
    <mergeCell ref="A20:A32"/>
    <mergeCell ref="B20:B32"/>
    <mergeCell ref="F20:G20"/>
    <mergeCell ref="F21:G21"/>
    <mergeCell ref="F22:G22"/>
    <mergeCell ref="F23:G23"/>
    <mergeCell ref="F24:G24"/>
    <mergeCell ref="F25:G25"/>
    <mergeCell ref="F26:G26"/>
    <mergeCell ref="F27:G27"/>
    <mergeCell ref="A35:A37"/>
    <mergeCell ref="B35:B37"/>
    <mergeCell ref="F35:G35"/>
    <mergeCell ref="F36:G36"/>
    <mergeCell ref="F37:G37"/>
    <mergeCell ref="A41:A43"/>
    <mergeCell ref="B41:B43"/>
    <mergeCell ref="F41:G41"/>
    <mergeCell ref="F42:G42"/>
    <mergeCell ref="F43:G43"/>
    <mergeCell ref="A38:A40"/>
    <mergeCell ref="B38:B40"/>
    <mergeCell ref="F38:G38"/>
    <mergeCell ref="F39:G39"/>
    <mergeCell ref="F40:G40"/>
    <mergeCell ref="B53:G53"/>
    <mergeCell ref="F44:G44"/>
    <mergeCell ref="F45:G45"/>
    <mergeCell ref="B46:B49"/>
    <mergeCell ref="F46:G49"/>
    <mergeCell ref="F50:G50"/>
    <mergeCell ref="B51:C51"/>
    <mergeCell ref="F11:G11"/>
    <mergeCell ref="F34:G34"/>
    <mergeCell ref="F28:G28"/>
    <mergeCell ref="F29:G29"/>
    <mergeCell ref="F30:G30"/>
    <mergeCell ref="F31:G31"/>
    <mergeCell ref="F32:G32"/>
    <mergeCell ref="F33:G33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>
      <selection activeCell="A6" sqref="A6:J6"/>
    </sheetView>
  </sheetViews>
  <sheetFormatPr defaultRowHeight="15"/>
  <cols>
    <col min="1" max="1" width="6.28515625" customWidth="1"/>
    <col min="8" max="8" width="6.5703125" customWidth="1"/>
    <col min="9" max="9" width="5.42578125" customWidth="1"/>
    <col min="10" max="10" width="25.42578125" customWidth="1"/>
  </cols>
  <sheetData>
    <row r="1" spans="1:10" ht="43.5" customHeight="1">
      <c r="G1" s="218" t="s">
        <v>234</v>
      </c>
      <c r="H1" s="224"/>
      <c r="I1" s="224"/>
      <c r="J1" s="224"/>
    </row>
    <row r="6" spans="1:10" ht="15.75">
      <c r="A6" s="225" t="s">
        <v>247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15.75">
      <c r="A7" s="225" t="s">
        <v>122</v>
      </c>
      <c r="B7" s="225"/>
      <c r="C7" s="225"/>
      <c r="D7" s="225"/>
      <c r="E7" s="225"/>
      <c r="F7" s="225"/>
      <c r="G7" s="225"/>
      <c r="H7" s="225"/>
      <c r="I7" s="225"/>
      <c r="J7" s="225"/>
    </row>
    <row r="10" spans="1:10" s="93" customFormat="1" ht="33" customHeight="1">
      <c r="A10" s="92" t="s">
        <v>11</v>
      </c>
      <c r="B10" s="226" t="s">
        <v>236</v>
      </c>
      <c r="C10" s="226"/>
      <c r="D10" s="226"/>
      <c r="E10" s="226"/>
      <c r="F10" s="226"/>
      <c r="G10" s="226"/>
      <c r="H10" s="226"/>
      <c r="I10" s="226"/>
      <c r="J10" s="92" t="s">
        <v>123</v>
      </c>
    </row>
    <row r="11" spans="1:10" ht="16.5" customHeight="1">
      <c r="A11" s="94">
        <v>1</v>
      </c>
      <c r="B11" s="223" t="s">
        <v>237</v>
      </c>
      <c r="C11" s="223"/>
      <c r="D11" s="223"/>
      <c r="E11" s="223"/>
      <c r="F11" s="223"/>
      <c r="G11" s="223"/>
      <c r="H11" s="223"/>
      <c r="I11" s="223"/>
      <c r="J11" s="120">
        <v>3419098</v>
      </c>
    </row>
    <row r="12" spans="1:10">
      <c r="A12" s="94"/>
      <c r="B12" s="227" t="s">
        <v>124</v>
      </c>
      <c r="C12" s="227"/>
      <c r="D12" s="227"/>
      <c r="E12" s="227"/>
      <c r="F12" s="227"/>
      <c r="G12" s="227"/>
      <c r="H12" s="227"/>
      <c r="I12" s="227"/>
      <c r="J12" s="96">
        <f>J11-J13-J14-J15-J16</f>
        <v>2674746</v>
      </c>
    </row>
    <row r="13" spans="1:10">
      <c r="A13" s="94"/>
      <c r="B13" s="227" t="s">
        <v>125</v>
      </c>
      <c r="C13" s="227"/>
      <c r="D13" s="227"/>
      <c r="E13" s="227"/>
      <c r="F13" s="227"/>
      <c r="G13" s="227"/>
      <c r="H13" s="227"/>
      <c r="I13" s="227"/>
      <c r="J13" s="97">
        <f>12000+18336</f>
        <v>30336</v>
      </c>
    </row>
    <row r="14" spans="1:10">
      <c r="A14" s="94"/>
      <c r="B14" s="227" t="s">
        <v>126</v>
      </c>
      <c r="C14" s="227"/>
      <c r="D14" s="227"/>
      <c r="E14" s="227"/>
      <c r="F14" s="227"/>
      <c r="G14" s="227"/>
      <c r="H14" s="227"/>
      <c r="I14" s="227"/>
      <c r="J14" s="97">
        <v>35238</v>
      </c>
    </row>
    <row r="15" spans="1:10">
      <c r="A15" s="94"/>
      <c r="B15" s="227" t="s">
        <v>127</v>
      </c>
      <c r="C15" s="227"/>
      <c r="D15" s="227"/>
      <c r="E15" s="227"/>
      <c r="F15" s="227"/>
      <c r="G15" s="227"/>
      <c r="H15" s="227"/>
      <c r="I15" s="227"/>
      <c r="J15" s="97">
        <v>60528</v>
      </c>
    </row>
    <row r="16" spans="1:10">
      <c r="A16" s="94"/>
      <c r="B16" s="227" t="s">
        <v>128</v>
      </c>
      <c r="C16" s="227"/>
      <c r="D16" s="227"/>
      <c r="E16" s="227"/>
      <c r="F16" s="227"/>
      <c r="G16" s="227"/>
      <c r="H16" s="227"/>
      <c r="I16" s="227"/>
      <c r="J16" s="97">
        <v>618250</v>
      </c>
    </row>
    <row r="17" spans="1:10" ht="27.75" customHeight="1">
      <c r="A17" s="98">
        <v>2</v>
      </c>
      <c r="B17" s="223" t="s">
        <v>129</v>
      </c>
      <c r="C17" s="223"/>
      <c r="D17" s="223"/>
      <c r="E17" s="223"/>
      <c r="F17" s="223"/>
      <c r="G17" s="223"/>
      <c r="H17" s="223"/>
      <c r="I17" s="223"/>
      <c r="J17" s="99">
        <v>91360</v>
      </c>
    </row>
    <row r="18" spans="1:10" ht="19.5" customHeight="1">
      <c r="A18" s="98">
        <v>3</v>
      </c>
      <c r="B18" s="223" t="s">
        <v>208</v>
      </c>
      <c r="C18" s="223"/>
      <c r="D18" s="223"/>
      <c r="E18" s="223"/>
      <c r="F18" s="223"/>
      <c r="G18" s="223"/>
      <c r="H18" s="223"/>
      <c r="I18" s="223"/>
      <c r="J18" s="95">
        <f>(J11+J17)*10/100</f>
        <v>351045.8</v>
      </c>
    </row>
    <row r="19" spans="1:10" ht="19.5" customHeight="1">
      <c r="A19" s="94"/>
      <c r="B19" s="227"/>
      <c r="C19" s="227"/>
      <c r="D19" s="227"/>
      <c r="E19" s="227"/>
      <c r="F19" s="227"/>
      <c r="G19" s="227"/>
      <c r="H19" s="227"/>
      <c r="I19" s="227"/>
      <c r="J19" s="96"/>
    </row>
    <row r="20" spans="1:10" ht="20.25" customHeight="1">
      <c r="A20" s="100">
        <v>4</v>
      </c>
      <c r="B20" s="229" t="s">
        <v>235</v>
      </c>
      <c r="C20" s="229"/>
      <c r="D20" s="229"/>
      <c r="E20" s="229"/>
      <c r="F20" s="229"/>
      <c r="G20" s="229"/>
      <c r="H20" s="229"/>
      <c r="I20" s="229"/>
      <c r="J20" s="101">
        <f>J11+J17+J18</f>
        <v>3861503.8</v>
      </c>
    </row>
    <row r="21" spans="1:10">
      <c r="A21" s="94"/>
      <c r="B21" s="227"/>
      <c r="C21" s="227"/>
      <c r="D21" s="227"/>
      <c r="E21" s="227"/>
      <c r="F21" s="227"/>
      <c r="G21" s="227"/>
      <c r="H21" s="227"/>
      <c r="I21" s="227"/>
      <c r="J21" s="96"/>
    </row>
    <row r="22" spans="1:10" s="102" customFormat="1" ht="20.25" customHeight="1">
      <c r="A22" s="100">
        <v>5</v>
      </c>
      <c r="B22" s="229" t="s">
        <v>130</v>
      </c>
      <c r="C22" s="229"/>
      <c r="D22" s="229"/>
      <c r="E22" s="229"/>
      <c r="F22" s="229"/>
      <c r="G22" s="229"/>
      <c r="H22" s="229"/>
      <c r="I22" s="229"/>
      <c r="J22" s="101">
        <f>J23+J24+J25+J26</f>
        <v>1166174.1475999998</v>
      </c>
    </row>
    <row r="23" spans="1:10">
      <c r="A23" s="94"/>
      <c r="B23" s="227" t="s">
        <v>131</v>
      </c>
      <c r="C23" s="227"/>
      <c r="D23" s="227"/>
      <c r="E23" s="227"/>
      <c r="F23" s="227"/>
      <c r="G23" s="227"/>
      <c r="H23" s="227"/>
      <c r="I23" s="227"/>
      <c r="J23" s="96">
        <f>J20*22/100</f>
        <v>849530.83599999989</v>
      </c>
    </row>
    <row r="24" spans="1:10">
      <c r="A24" s="94"/>
      <c r="B24" s="227" t="s">
        <v>132</v>
      </c>
      <c r="C24" s="227"/>
      <c r="D24" s="227"/>
      <c r="E24" s="227"/>
      <c r="F24" s="227"/>
      <c r="G24" s="227"/>
      <c r="H24" s="227"/>
      <c r="I24" s="227"/>
      <c r="J24" s="96">
        <f>J20*2.9/100</f>
        <v>111983.6102</v>
      </c>
    </row>
    <row r="25" spans="1:10">
      <c r="A25" s="94"/>
      <c r="B25" s="227" t="s">
        <v>133</v>
      </c>
      <c r="C25" s="227"/>
      <c r="D25" s="227"/>
      <c r="E25" s="227"/>
      <c r="F25" s="227"/>
      <c r="G25" s="227"/>
      <c r="H25" s="227"/>
      <c r="I25" s="227"/>
      <c r="J25" s="96">
        <f>J20*5.1/100</f>
        <v>196936.69379999998</v>
      </c>
    </row>
    <row r="26" spans="1:10">
      <c r="A26" s="94"/>
      <c r="B26" s="227" t="s">
        <v>134</v>
      </c>
      <c r="C26" s="227"/>
      <c r="D26" s="227"/>
      <c r="E26" s="227"/>
      <c r="F26" s="227"/>
      <c r="G26" s="227"/>
      <c r="H26" s="227"/>
      <c r="I26" s="227"/>
      <c r="J26" s="96">
        <f>J20*0.2/100</f>
        <v>7723.0075999999999</v>
      </c>
    </row>
    <row r="27" spans="1:10" ht="18.75" customHeight="1">
      <c r="A27" s="94"/>
      <c r="B27" s="227"/>
      <c r="C27" s="227"/>
      <c r="D27" s="227"/>
      <c r="E27" s="227"/>
      <c r="F27" s="227"/>
      <c r="G27" s="227"/>
      <c r="H27" s="227"/>
      <c r="I27" s="227"/>
      <c r="J27" s="96"/>
    </row>
    <row r="28" spans="1:10" s="105" customFormat="1" ht="37.5" customHeight="1">
      <c r="A28" s="103">
        <v>6</v>
      </c>
      <c r="B28" s="228" t="s">
        <v>238</v>
      </c>
      <c r="C28" s="228"/>
      <c r="D28" s="228"/>
      <c r="E28" s="228"/>
      <c r="F28" s="228"/>
      <c r="G28" s="228"/>
      <c r="H28" s="228"/>
      <c r="I28" s="228"/>
      <c r="J28" s="104">
        <f>(J20+J22)/17180400*100</f>
        <v>29.264033128448695</v>
      </c>
    </row>
  </sheetData>
  <mergeCells count="22">
    <mergeCell ref="B25:I25"/>
    <mergeCell ref="B26:I26"/>
    <mergeCell ref="B27:I27"/>
    <mergeCell ref="B28:I28"/>
    <mergeCell ref="B19:I19"/>
    <mergeCell ref="B20:I20"/>
    <mergeCell ref="B21:I21"/>
    <mergeCell ref="B22:I22"/>
    <mergeCell ref="B23:I23"/>
    <mergeCell ref="B24:I24"/>
    <mergeCell ref="B18:I18"/>
    <mergeCell ref="G1:J1"/>
    <mergeCell ref="A6:J6"/>
    <mergeCell ref="A7:J7"/>
    <mergeCell ref="B10:I10"/>
    <mergeCell ref="B11:I11"/>
    <mergeCell ref="B12:I12"/>
    <mergeCell ref="B13:I13"/>
    <mergeCell ref="B14:I14"/>
    <mergeCell ref="B15:I15"/>
    <mergeCell ref="B16:I16"/>
    <mergeCell ref="B17:I1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opLeftCell="A19" workbookViewId="0">
      <selection activeCell="C11" sqref="C11"/>
    </sheetView>
  </sheetViews>
  <sheetFormatPr defaultRowHeight="15"/>
  <cols>
    <col min="1" max="1" width="12.28515625" customWidth="1"/>
    <col min="2" max="2" width="15.7109375" customWidth="1"/>
    <col min="3" max="3" width="22" customWidth="1"/>
    <col min="4" max="4" width="14.7109375" customWidth="1"/>
    <col min="11" max="11" width="12.42578125" customWidth="1"/>
    <col min="12" max="12" width="11.28515625" customWidth="1"/>
    <col min="13" max="13" width="13.28515625" customWidth="1"/>
    <col min="14" max="14" width="16" style="108" customWidth="1"/>
    <col min="15" max="15" width="18" customWidth="1"/>
  </cols>
  <sheetData>
    <row r="1" spans="1:15">
      <c r="A1" s="106" t="s">
        <v>176</v>
      </c>
      <c r="B1" s="107"/>
      <c r="C1" s="106"/>
      <c r="D1" s="106"/>
      <c r="E1" s="106"/>
      <c r="F1" s="106"/>
      <c r="G1" s="106"/>
      <c r="H1" s="106"/>
      <c r="I1" s="106"/>
      <c r="J1" s="106"/>
      <c r="K1" s="234" t="s">
        <v>135</v>
      </c>
      <c r="L1" s="234"/>
      <c r="M1" s="234"/>
    </row>
    <row r="2" spans="1:15">
      <c r="A2" s="106"/>
      <c r="B2" s="107"/>
      <c r="C2" s="106"/>
      <c r="D2" s="106"/>
      <c r="E2" s="106"/>
      <c r="F2" s="106"/>
      <c r="G2" s="106"/>
      <c r="H2" s="106"/>
      <c r="I2" s="106"/>
      <c r="J2" s="106"/>
      <c r="K2" s="234" t="s">
        <v>136</v>
      </c>
      <c r="L2" s="234"/>
      <c r="M2" s="234"/>
    </row>
    <row r="3" spans="1:15">
      <c r="A3" s="106"/>
      <c r="B3" s="107"/>
      <c r="C3" s="106"/>
      <c r="D3" s="106"/>
      <c r="E3" s="106"/>
      <c r="F3" s="106"/>
      <c r="G3" s="106"/>
      <c r="H3" s="106"/>
      <c r="I3" s="106"/>
      <c r="J3" s="106"/>
      <c r="K3" s="234" t="s">
        <v>137</v>
      </c>
      <c r="L3" s="234"/>
      <c r="M3" s="234"/>
    </row>
    <row r="4" spans="1:15">
      <c r="A4" s="106"/>
      <c r="B4" s="107"/>
      <c r="C4" s="106"/>
      <c r="D4" s="106"/>
      <c r="E4" s="106"/>
      <c r="F4" s="106"/>
      <c r="G4" s="106"/>
      <c r="H4" s="106"/>
      <c r="I4" s="106"/>
      <c r="J4" s="106"/>
      <c r="K4" s="234" t="s">
        <v>138</v>
      </c>
      <c r="L4" s="234"/>
      <c r="M4" s="234"/>
    </row>
    <row r="5" spans="1:15">
      <c r="A5" s="241" t="s">
        <v>230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106"/>
      <c r="O5" s="121"/>
    </row>
    <row r="6" spans="1:15" ht="6.75" customHeight="1">
      <c r="A6" s="122"/>
      <c r="B6" s="122"/>
      <c r="C6" s="123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1"/>
    </row>
    <row r="7" spans="1:15" s="109" customFormat="1" ht="24.75" customHeight="1">
      <c r="A7" s="242" t="s">
        <v>139</v>
      </c>
      <c r="B7" s="243"/>
      <c r="C7" s="243"/>
      <c r="D7" s="235" t="s">
        <v>140</v>
      </c>
      <c r="E7" s="235" t="s">
        <v>141</v>
      </c>
      <c r="F7" s="235" t="s">
        <v>142</v>
      </c>
      <c r="G7" s="244" t="s">
        <v>143</v>
      </c>
      <c r="H7" s="246" t="s">
        <v>144</v>
      </c>
      <c r="I7" s="246"/>
      <c r="J7" s="246"/>
      <c r="K7" s="247"/>
      <c r="L7" s="235" t="s">
        <v>145</v>
      </c>
      <c r="M7" s="235" t="s">
        <v>146</v>
      </c>
      <c r="N7" s="232" t="s">
        <v>147</v>
      </c>
      <c r="O7" s="230" t="s">
        <v>148</v>
      </c>
    </row>
    <row r="8" spans="1:15" s="109" customFormat="1" ht="60.75" customHeight="1">
      <c r="A8" s="124" t="s">
        <v>149</v>
      </c>
      <c r="B8" s="124" t="s">
        <v>192</v>
      </c>
      <c r="C8" s="125" t="s">
        <v>193</v>
      </c>
      <c r="D8" s="248"/>
      <c r="E8" s="248"/>
      <c r="F8" s="248"/>
      <c r="G8" s="245"/>
      <c r="H8" s="126" t="s">
        <v>150</v>
      </c>
      <c r="I8" s="127" t="s">
        <v>151</v>
      </c>
      <c r="J8" s="127" t="s">
        <v>152</v>
      </c>
      <c r="K8" s="126" t="s">
        <v>153</v>
      </c>
      <c r="L8" s="236"/>
      <c r="M8" s="236"/>
      <c r="N8" s="233"/>
      <c r="O8" s="231"/>
    </row>
    <row r="9" spans="1:15" s="109" customFormat="1">
      <c r="A9" s="128">
        <v>1</v>
      </c>
      <c r="B9" s="128"/>
      <c r="C9" s="129">
        <v>2</v>
      </c>
      <c r="D9" s="128">
        <v>3</v>
      </c>
      <c r="E9" s="128">
        <v>5</v>
      </c>
      <c r="F9" s="128">
        <v>4</v>
      </c>
      <c r="G9" s="130">
        <v>5</v>
      </c>
      <c r="H9" s="131">
        <v>6</v>
      </c>
      <c r="I9" s="131">
        <v>7</v>
      </c>
      <c r="J9" s="131">
        <v>8</v>
      </c>
      <c r="K9" s="131">
        <v>9</v>
      </c>
      <c r="L9" s="131">
        <v>10</v>
      </c>
      <c r="M9" s="131">
        <v>11</v>
      </c>
      <c r="N9" s="132">
        <v>12</v>
      </c>
      <c r="O9" s="132">
        <v>13</v>
      </c>
    </row>
    <row r="10" spans="1:15" s="109" customFormat="1" ht="44.25" customHeight="1">
      <c r="A10" s="133" t="s">
        <v>154</v>
      </c>
      <c r="B10" s="133">
        <v>16242</v>
      </c>
      <c r="C10" s="134" t="s">
        <v>194</v>
      </c>
      <c r="D10" s="133" t="s">
        <v>155</v>
      </c>
      <c r="E10" s="112">
        <f>B10*C10</f>
        <v>45477.599999999999</v>
      </c>
      <c r="F10" s="113">
        <v>1</v>
      </c>
      <c r="G10" s="114">
        <f>E10*F10</f>
        <v>45477.599999999999</v>
      </c>
      <c r="H10" s="135"/>
      <c r="I10" s="112"/>
      <c r="J10" s="112"/>
      <c r="K10" s="112">
        <f>(G10+H10+I10+J10)*0.25</f>
        <v>11369.4</v>
      </c>
      <c r="L10" s="112">
        <f>G10+H10+I10+J10+K10</f>
        <v>56847</v>
      </c>
      <c r="M10" s="116">
        <v>6</v>
      </c>
      <c r="N10" s="117">
        <f>L10*M10</f>
        <v>341082</v>
      </c>
      <c r="O10" s="110" t="s">
        <v>224</v>
      </c>
    </row>
    <row r="11" spans="1:15" s="109" customFormat="1" ht="27.75" customHeight="1">
      <c r="A11" s="133" t="s">
        <v>154</v>
      </c>
      <c r="B11" s="133">
        <v>16242</v>
      </c>
      <c r="C11" s="134" t="s">
        <v>195</v>
      </c>
      <c r="D11" s="133" t="s">
        <v>156</v>
      </c>
      <c r="E11" s="112">
        <f>B11*C11</f>
        <v>45477.599999999999</v>
      </c>
      <c r="F11" s="113">
        <v>1</v>
      </c>
      <c r="G11" s="114">
        <f>E11*F11</f>
        <v>45477.599999999999</v>
      </c>
      <c r="H11" s="135">
        <v>3248</v>
      </c>
      <c r="I11" s="112"/>
      <c r="J11" s="112"/>
      <c r="K11" s="112">
        <f>(G11+H11+I11+J11)*0.25</f>
        <v>12181.4</v>
      </c>
      <c r="L11" s="112">
        <f>G11+H11+I11+J11+K11</f>
        <v>60907</v>
      </c>
      <c r="M11" s="116">
        <v>6</v>
      </c>
      <c r="N11" s="117">
        <f>L11*M11</f>
        <v>365442</v>
      </c>
      <c r="O11" s="111" t="s">
        <v>225</v>
      </c>
    </row>
    <row r="12" spans="1:15" s="109" customFormat="1" ht="48.75" customHeight="1">
      <c r="A12" s="133" t="s">
        <v>154</v>
      </c>
      <c r="B12" s="133"/>
      <c r="C12" s="134" t="s">
        <v>157</v>
      </c>
      <c r="D12" s="133" t="s">
        <v>158</v>
      </c>
      <c r="E12" s="112">
        <f>E10*80/100</f>
        <v>36382.080000000002</v>
      </c>
      <c r="F12" s="113">
        <v>0.5</v>
      </c>
      <c r="G12" s="114">
        <f>E12*F12</f>
        <v>18191.04</v>
      </c>
      <c r="H12" s="112"/>
      <c r="I12" s="112"/>
      <c r="J12" s="112"/>
      <c r="K12" s="112">
        <f t="shared" ref="K12:K26" si="0">(G12+H12+I12+J12)*0.25</f>
        <v>4547.76</v>
      </c>
      <c r="L12" s="112">
        <f t="shared" ref="L12:L26" si="1">G12+H12+I12+J12+K12</f>
        <v>22738.800000000003</v>
      </c>
      <c r="M12" s="116">
        <v>4</v>
      </c>
      <c r="N12" s="117">
        <f t="shared" ref="N12:N26" si="2">L12*M12</f>
        <v>90955.200000000012</v>
      </c>
      <c r="O12" s="111" t="s">
        <v>226</v>
      </c>
    </row>
    <row r="13" spans="1:15" s="109" customFormat="1" ht="23.25" customHeight="1">
      <c r="A13" s="133" t="s">
        <v>159</v>
      </c>
      <c r="B13" s="133"/>
      <c r="C13" s="134" t="s">
        <v>157</v>
      </c>
      <c r="D13" s="133" t="s">
        <v>160</v>
      </c>
      <c r="E13" s="112">
        <f>E11*80/100</f>
        <v>36382.080000000002</v>
      </c>
      <c r="F13" s="113">
        <v>1</v>
      </c>
      <c r="G13" s="136">
        <f t="shared" ref="G13:G26" si="3">E13*F13</f>
        <v>36382.080000000002</v>
      </c>
      <c r="H13" s="112"/>
      <c r="I13" s="112"/>
      <c r="J13" s="112"/>
      <c r="K13" s="112">
        <f t="shared" si="0"/>
        <v>9095.52</v>
      </c>
      <c r="L13" s="112">
        <f t="shared" si="1"/>
        <v>45477.600000000006</v>
      </c>
      <c r="M13" s="116">
        <v>12</v>
      </c>
      <c r="N13" s="117">
        <f t="shared" si="2"/>
        <v>545731.20000000007</v>
      </c>
      <c r="O13" s="137" t="s">
        <v>227</v>
      </c>
    </row>
    <row r="14" spans="1:15" s="109" customFormat="1" ht="28.5" customHeight="1">
      <c r="A14" s="133" t="s">
        <v>154</v>
      </c>
      <c r="B14" s="133"/>
      <c r="C14" s="138" t="s">
        <v>161</v>
      </c>
      <c r="D14" s="133" t="s">
        <v>162</v>
      </c>
      <c r="E14" s="112">
        <f>E13*65/100</f>
        <v>23648.352000000003</v>
      </c>
      <c r="F14" s="113">
        <v>1</v>
      </c>
      <c r="G14" s="136">
        <f t="shared" si="3"/>
        <v>23648.352000000003</v>
      </c>
      <c r="H14" s="112"/>
      <c r="I14" s="112"/>
      <c r="J14" s="112"/>
      <c r="K14" s="112">
        <f t="shared" si="0"/>
        <v>5912.0880000000006</v>
      </c>
      <c r="L14" s="112">
        <f t="shared" si="1"/>
        <v>29560.440000000002</v>
      </c>
      <c r="M14" s="116">
        <v>12</v>
      </c>
      <c r="N14" s="117">
        <f t="shared" si="2"/>
        <v>354725.28</v>
      </c>
      <c r="O14" s="137" t="s">
        <v>227</v>
      </c>
    </row>
    <row r="15" spans="1:15" s="109" customFormat="1" ht="28.5" customHeight="1">
      <c r="A15" s="133" t="s">
        <v>163</v>
      </c>
      <c r="B15" s="133">
        <v>16242</v>
      </c>
      <c r="C15" s="134" t="s">
        <v>196</v>
      </c>
      <c r="D15" s="133" t="s">
        <v>164</v>
      </c>
      <c r="E15" s="112">
        <f>B15*C15</f>
        <v>24363</v>
      </c>
      <c r="F15" s="113">
        <v>0.5</v>
      </c>
      <c r="G15" s="136">
        <f t="shared" si="3"/>
        <v>12181.5</v>
      </c>
      <c r="H15" s="112"/>
      <c r="I15" s="112"/>
      <c r="J15" s="112"/>
      <c r="K15" s="112">
        <f t="shared" si="0"/>
        <v>3045.375</v>
      </c>
      <c r="L15" s="112">
        <f t="shared" si="1"/>
        <v>15226.875</v>
      </c>
      <c r="M15" s="116">
        <v>4.5</v>
      </c>
      <c r="N15" s="117">
        <f t="shared" si="2"/>
        <v>68520.9375</v>
      </c>
      <c r="O15" s="111" t="s">
        <v>226</v>
      </c>
    </row>
    <row r="16" spans="1:15" s="109" customFormat="1" ht="33.75" customHeight="1">
      <c r="A16" s="133" t="s">
        <v>163</v>
      </c>
      <c r="B16" s="133">
        <v>16242</v>
      </c>
      <c r="C16" s="134" t="s">
        <v>197</v>
      </c>
      <c r="D16" s="133" t="s">
        <v>165</v>
      </c>
      <c r="E16" s="112">
        <f t="shared" ref="E16:E26" si="4">B16*C16</f>
        <v>25987.200000000001</v>
      </c>
      <c r="F16" s="113">
        <v>0.5</v>
      </c>
      <c r="G16" s="136">
        <f t="shared" si="3"/>
        <v>12993.6</v>
      </c>
      <c r="H16" s="112"/>
      <c r="I16" s="112"/>
      <c r="J16" s="112"/>
      <c r="K16" s="112">
        <f t="shared" si="0"/>
        <v>3248.4</v>
      </c>
      <c r="L16" s="112">
        <f t="shared" si="1"/>
        <v>16242</v>
      </c>
      <c r="M16" s="116">
        <v>6</v>
      </c>
      <c r="N16" s="117">
        <f t="shared" si="2"/>
        <v>97452</v>
      </c>
      <c r="O16" s="111" t="s">
        <v>225</v>
      </c>
    </row>
    <row r="17" spans="1:15" s="109" customFormat="1" ht="30" customHeight="1">
      <c r="A17" s="133" t="s">
        <v>163</v>
      </c>
      <c r="B17" s="133">
        <v>16242</v>
      </c>
      <c r="C17" s="134" t="s">
        <v>197</v>
      </c>
      <c r="D17" s="133" t="s">
        <v>165</v>
      </c>
      <c r="E17" s="112">
        <f t="shared" si="4"/>
        <v>25987.200000000001</v>
      </c>
      <c r="F17" s="113">
        <v>0.25</v>
      </c>
      <c r="G17" s="136">
        <f t="shared" si="3"/>
        <v>6496.8</v>
      </c>
      <c r="H17" s="112"/>
      <c r="I17" s="112"/>
      <c r="J17" s="112"/>
      <c r="K17" s="112">
        <f t="shared" si="0"/>
        <v>1624.2</v>
      </c>
      <c r="L17" s="112">
        <f t="shared" si="1"/>
        <v>8121</v>
      </c>
      <c r="M17" s="116">
        <v>6</v>
      </c>
      <c r="N17" s="117">
        <f t="shared" si="2"/>
        <v>48726</v>
      </c>
      <c r="O17" s="110" t="s">
        <v>224</v>
      </c>
    </row>
    <row r="18" spans="1:15" s="109" customFormat="1" ht="23.25" customHeight="1">
      <c r="A18" s="133" t="s">
        <v>166</v>
      </c>
      <c r="B18" s="133">
        <v>16242</v>
      </c>
      <c r="C18" s="134" t="s">
        <v>198</v>
      </c>
      <c r="D18" s="133" t="s">
        <v>167</v>
      </c>
      <c r="E18" s="112">
        <f t="shared" si="4"/>
        <v>30859.8</v>
      </c>
      <c r="F18" s="113">
        <v>0.25</v>
      </c>
      <c r="G18" s="136">
        <f t="shared" si="3"/>
        <v>7714.95</v>
      </c>
      <c r="H18" s="112"/>
      <c r="I18" s="112"/>
      <c r="J18" s="112"/>
      <c r="K18" s="112">
        <f t="shared" si="0"/>
        <v>1928.7375</v>
      </c>
      <c r="L18" s="112">
        <f t="shared" si="1"/>
        <v>9643.6875</v>
      </c>
      <c r="M18" s="116">
        <v>4</v>
      </c>
      <c r="N18" s="117">
        <f t="shared" si="2"/>
        <v>38574.75</v>
      </c>
      <c r="O18" s="111" t="s">
        <v>226</v>
      </c>
    </row>
    <row r="19" spans="1:15" s="109" customFormat="1" ht="26.25">
      <c r="A19" s="133" t="s">
        <v>163</v>
      </c>
      <c r="B19" s="133">
        <v>16242</v>
      </c>
      <c r="C19" s="134" t="s">
        <v>199</v>
      </c>
      <c r="D19" s="133" t="s">
        <v>168</v>
      </c>
      <c r="E19" s="112">
        <f t="shared" si="4"/>
        <v>19490.399999999998</v>
      </c>
      <c r="F19" s="113">
        <v>1</v>
      </c>
      <c r="G19" s="136">
        <f t="shared" si="3"/>
        <v>19490.399999999998</v>
      </c>
      <c r="H19" s="112"/>
      <c r="I19" s="112">
        <v>776</v>
      </c>
      <c r="J19" s="112"/>
      <c r="K19" s="112">
        <f t="shared" si="0"/>
        <v>5066.5999999999995</v>
      </c>
      <c r="L19" s="112">
        <f t="shared" si="1"/>
        <v>25332.999999999996</v>
      </c>
      <c r="M19" s="116">
        <v>5.5</v>
      </c>
      <c r="N19" s="117">
        <f t="shared" si="2"/>
        <v>139331.49999999997</v>
      </c>
      <c r="O19" s="111" t="s">
        <v>228</v>
      </c>
    </row>
    <row r="20" spans="1:15" s="109" customFormat="1" ht="26.25" customHeight="1">
      <c r="A20" s="133" t="s">
        <v>163</v>
      </c>
      <c r="B20" s="133">
        <v>16242</v>
      </c>
      <c r="C20" s="134" t="s">
        <v>200</v>
      </c>
      <c r="D20" s="133" t="s">
        <v>169</v>
      </c>
      <c r="E20" s="112">
        <f t="shared" si="4"/>
        <v>19490.399999999998</v>
      </c>
      <c r="F20" s="113">
        <v>0.5</v>
      </c>
      <c r="G20" s="136">
        <f t="shared" si="3"/>
        <v>9745.1999999999989</v>
      </c>
      <c r="H20" s="112"/>
      <c r="I20" s="112"/>
      <c r="J20" s="112"/>
      <c r="K20" s="112">
        <f t="shared" si="0"/>
        <v>2436.2999999999997</v>
      </c>
      <c r="L20" s="112">
        <f t="shared" si="1"/>
        <v>12181.499999999998</v>
      </c>
      <c r="M20" s="116">
        <v>4.5</v>
      </c>
      <c r="N20" s="117">
        <f t="shared" si="2"/>
        <v>54816.749999999993</v>
      </c>
      <c r="O20" s="111" t="s">
        <v>226</v>
      </c>
    </row>
    <row r="21" spans="1:15" s="109" customFormat="1" ht="27.75" customHeight="1">
      <c r="A21" s="133" t="s">
        <v>163</v>
      </c>
      <c r="B21" s="133">
        <v>16242</v>
      </c>
      <c r="C21" s="134" t="s">
        <v>201</v>
      </c>
      <c r="D21" s="133" t="s">
        <v>170</v>
      </c>
      <c r="E21" s="112">
        <f t="shared" si="4"/>
        <v>16242</v>
      </c>
      <c r="F21" s="113">
        <v>1</v>
      </c>
      <c r="G21" s="136">
        <f t="shared" si="3"/>
        <v>16242</v>
      </c>
      <c r="H21" s="112">
        <v>1000</v>
      </c>
      <c r="I21" s="112">
        <v>690</v>
      </c>
      <c r="J21" s="112">
        <v>1340</v>
      </c>
      <c r="K21" s="112">
        <f t="shared" si="0"/>
        <v>4818</v>
      </c>
      <c r="L21" s="112">
        <f t="shared" si="1"/>
        <v>24090</v>
      </c>
      <c r="M21" s="116">
        <v>12</v>
      </c>
      <c r="N21" s="117">
        <f t="shared" si="2"/>
        <v>289080</v>
      </c>
      <c r="O21" s="137" t="s">
        <v>227</v>
      </c>
    </row>
    <row r="22" spans="1:15" s="109" customFormat="1" ht="30.75" customHeight="1">
      <c r="A22" s="133" t="s">
        <v>163</v>
      </c>
      <c r="B22" s="133">
        <v>16242</v>
      </c>
      <c r="C22" s="134" t="s">
        <v>201</v>
      </c>
      <c r="D22" s="133" t="s">
        <v>171</v>
      </c>
      <c r="E22" s="112">
        <f t="shared" si="4"/>
        <v>16242</v>
      </c>
      <c r="F22" s="113">
        <v>1</v>
      </c>
      <c r="G22" s="136">
        <f t="shared" si="3"/>
        <v>16242</v>
      </c>
      <c r="H22" s="112"/>
      <c r="I22" s="112">
        <v>690</v>
      </c>
      <c r="J22" s="112">
        <v>1340</v>
      </c>
      <c r="K22" s="112">
        <f t="shared" si="0"/>
        <v>4568</v>
      </c>
      <c r="L22" s="112">
        <f t="shared" si="1"/>
        <v>22840</v>
      </c>
      <c r="M22" s="116">
        <v>12</v>
      </c>
      <c r="N22" s="117">
        <f t="shared" si="2"/>
        <v>274080</v>
      </c>
      <c r="O22" s="137" t="s">
        <v>227</v>
      </c>
    </row>
    <row r="23" spans="1:15" s="109" customFormat="1" ht="30.75" customHeight="1">
      <c r="A23" s="133" t="s">
        <v>163</v>
      </c>
      <c r="B23" s="133">
        <v>16242</v>
      </c>
      <c r="C23" s="134" t="s">
        <v>201</v>
      </c>
      <c r="D23" s="133" t="s">
        <v>171</v>
      </c>
      <c r="E23" s="112">
        <f t="shared" si="4"/>
        <v>16242</v>
      </c>
      <c r="F23" s="113">
        <v>1</v>
      </c>
      <c r="G23" s="136">
        <f t="shared" si="3"/>
        <v>16242</v>
      </c>
      <c r="H23" s="112"/>
      <c r="I23" s="112">
        <v>690</v>
      </c>
      <c r="J23" s="112">
        <v>1340</v>
      </c>
      <c r="K23" s="112">
        <f t="shared" si="0"/>
        <v>4568</v>
      </c>
      <c r="L23" s="112">
        <f t="shared" si="1"/>
        <v>22840</v>
      </c>
      <c r="M23" s="116">
        <v>12</v>
      </c>
      <c r="N23" s="117">
        <f t="shared" si="2"/>
        <v>274080</v>
      </c>
      <c r="O23" s="137" t="s">
        <v>227</v>
      </c>
    </row>
    <row r="24" spans="1:15" s="109" customFormat="1" ht="30.75" customHeight="1">
      <c r="A24" s="133" t="s">
        <v>163</v>
      </c>
      <c r="B24" s="133">
        <v>16242</v>
      </c>
      <c r="C24" s="134" t="s">
        <v>201</v>
      </c>
      <c r="D24" s="133" t="s">
        <v>172</v>
      </c>
      <c r="E24" s="112">
        <f t="shared" si="4"/>
        <v>16242</v>
      </c>
      <c r="F24" s="113">
        <v>1</v>
      </c>
      <c r="G24" s="136">
        <f t="shared" si="3"/>
        <v>16242</v>
      </c>
      <c r="H24" s="112"/>
      <c r="I24" s="112">
        <v>690</v>
      </c>
      <c r="J24" s="112">
        <v>1340</v>
      </c>
      <c r="K24" s="112">
        <f t="shared" si="0"/>
        <v>4568</v>
      </c>
      <c r="L24" s="112">
        <f t="shared" si="1"/>
        <v>22840</v>
      </c>
      <c r="M24" s="116">
        <v>12</v>
      </c>
      <c r="N24" s="117">
        <f t="shared" si="2"/>
        <v>274080</v>
      </c>
      <c r="O24" s="137" t="s">
        <v>227</v>
      </c>
    </row>
    <row r="25" spans="1:15" s="109" customFormat="1" ht="30.75" customHeight="1">
      <c r="A25" s="133" t="s">
        <v>163</v>
      </c>
      <c r="B25" s="133">
        <v>16242</v>
      </c>
      <c r="C25" s="134" t="s">
        <v>201</v>
      </c>
      <c r="D25" s="133" t="s">
        <v>173</v>
      </c>
      <c r="E25" s="112">
        <f t="shared" si="4"/>
        <v>16242</v>
      </c>
      <c r="F25" s="113">
        <v>1</v>
      </c>
      <c r="G25" s="136">
        <f t="shared" si="3"/>
        <v>16242</v>
      </c>
      <c r="H25" s="112"/>
      <c r="I25" s="112"/>
      <c r="J25" s="112"/>
      <c r="K25" s="112">
        <f t="shared" si="0"/>
        <v>4060.5</v>
      </c>
      <c r="L25" s="112">
        <f t="shared" si="1"/>
        <v>20302.5</v>
      </c>
      <c r="M25" s="116">
        <v>6.5</v>
      </c>
      <c r="N25" s="117">
        <f t="shared" si="2"/>
        <v>131966.25</v>
      </c>
      <c r="O25" s="111" t="s">
        <v>229</v>
      </c>
    </row>
    <row r="26" spans="1:15" s="109" customFormat="1" ht="43.5" customHeight="1">
      <c r="A26" s="133" t="s">
        <v>163</v>
      </c>
      <c r="B26" s="133">
        <v>16242</v>
      </c>
      <c r="C26" s="134" t="s">
        <v>201</v>
      </c>
      <c r="D26" s="133" t="s">
        <v>174</v>
      </c>
      <c r="E26" s="112">
        <f t="shared" si="4"/>
        <v>16242</v>
      </c>
      <c r="F26" s="113">
        <v>0.125</v>
      </c>
      <c r="G26" s="136">
        <f t="shared" si="3"/>
        <v>2030.25</v>
      </c>
      <c r="H26" s="112"/>
      <c r="I26" s="112"/>
      <c r="J26" s="112"/>
      <c r="K26" s="112">
        <f t="shared" si="0"/>
        <v>507.5625</v>
      </c>
      <c r="L26" s="112">
        <f t="shared" si="1"/>
        <v>2537.8125</v>
      </c>
      <c r="M26" s="116">
        <v>12</v>
      </c>
      <c r="N26" s="117">
        <f t="shared" si="2"/>
        <v>30453.75</v>
      </c>
      <c r="O26" s="137" t="s">
        <v>227</v>
      </c>
    </row>
    <row r="27" spans="1:15" s="109" customFormat="1" ht="26.25" customHeight="1">
      <c r="A27" s="237" t="s">
        <v>175</v>
      </c>
      <c r="B27" s="238"/>
      <c r="C27" s="239"/>
      <c r="D27" s="240"/>
      <c r="E27" s="112">
        <f>SUM(E12:E26)</f>
        <v>340042.51199999999</v>
      </c>
      <c r="F27" s="113">
        <f>SUM(F10:F26)</f>
        <v>12.625</v>
      </c>
      <c r="G27" s="114">
        <f>SUM(G12:G26)</f>
        <v>230084.17200000002</v>
      </c>
      <c r="H27" s="112">
        <f>SUM(H10:H26)</f>
        <v>4248</v>
      </c>
      <c r="I27" s="112">
        <f>SUM(I10:I26)</f>
        <v>3536</v>
      </c>
      <c r="J27" s="112">
        <f>SUM(J10:J26)</f>
        <v>5360</v>
      </c>
      <c r="K27" s="112">
        <f>SUM(K10:K26)</f>
        <v>83545.843000000008</v>
      </c>
      <c r="L27" s="115">
        <f>SUM(L10:L26)</f>
        <v>417729.21499999997</v>
      </c>
      <c r="M27" s="116"/>
      <c r="N27" s="117">
        <f>SUM(N10:N26)</f>
        <v>3419097.6174999997</v>
      </c>
      <c r="O27" s="137"/>
    </row>
    <row r="28" spans="1:15" s="109" customFormat="1" ht="23.25" customHeight="1">
      <c r="B28" s="118"/>
      <c r="N28" s="108"/>
    </row>
    <row r="29" spans="1:15" s="109" customFormat="1" ht="27" customHeight="1">
      <c r="B29" s="118"/>
      <c r="N29" s="108"/>
    </row>
    <row r="30" spans="1:15" s="109" customFormat="1">
      <c r="B30" s="118"/>
      <c r="N30" s="108"/>
    </row>
    <row r="31" spans="1:15" s="109" customFormat="1">
      <c r="B31" s="118"/>
      <c r="N31" s="108"/>
    </row>
    <row r="32" spans="1:15" s="109" customFormat="1">
      <c r="B32" s="118"/>
      <c r="N32" s="108"/>
    </row>
    <row r="33" spans="2:2">
      <c r="B33" s="91"/>
    </row>
    <row r="34" spans="2:2">
      <c r="B34" s="91"/>
    </row>
    <row r="35" spans="2:2">
      <c r="B35" s="91"/>
    </row>
    <row r="36" spans="2:2">
      <c r="B36" s="91"/>
    </row>
    <row r="37" spans="2:2">
      <c r="B37" s="91"/>
    </row>
    <row r="38" spans="2:2">
      <c r="B38" s="91"/>
    </row>
    <row r="39" spans="2:2">
      <c r="B39" s="91"/>
    </row>
    <row r="40" spans="2:2">
      <c r="B40" s="91"/>
    </row>
  </sheetData>
  <mergeCells count="16">
    <mergeCell ref="A27:D27"/>
    <mergeCell ref="A5:M5"/>
    <mergeCell ref="A7:C7"/>
    <mergeCell ref="G7:G8"/>
    <mergeCell ref="H7:K7"/>
    <mergeCell ref="D7:D8"/>
    <mergeCell ref="E7:E8"/>
    <mergeCell ref="F7:F8"/>
    <mergeCell ref="O7:O8"/>
    <mergeCell ref="N7:N8"/>
    <mergeCell ref="K1:M1"/>
    <mergeCell ref="K2:M2"/>
    <mergeCell ref="K3:M3"/>
    <mergeCell ref="K4:M4"/>
    <mergeCell ref="L7:L8"/>
    <mergeCell ref="M7:M8"/>
  </mergeCells>
  <pageMargins left="0.31496062992125984" right="0.31496062992125984" top="0.74803149606299213" bottom="0.35433070866141736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workbookViewId="0">
      <selection activeCell="A4" sqref="A4:M4"/>
    </sheetView>
  </sheetViews>
  <sheetFormatPr defaultRowHeight="15"/>
  <cols>
    <col min="5" max="5" width="16" customWidth="1"/>
    <col min="8" max="8" width="12.28515625" customWidth="1"/>
    <col min="9" max="9" width="15" customWidth="1"/>
    <col min="11" max="11" width="13.7109375" customWidth="1"/>
    <col min="12" max="12" width="17.42578125" customWidth="1"/>
    <col min="13" max="13" width="16.28515625" customWidth="1"/>
  </cols>
  <sheetData>
    <row r="3" spans="1:13" s="119" customFormat="1" ht="33.75" customHeight="1">
      <c r="A3" s="250" t="s">
        <v>202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s="119" customFormat="1" ht="24.75" customHeight="1">
      <c r="A4" s="250" t="s">
        <v>177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s="119" customFormat="1" ht="27.75" customHeight="1">
      <c r="A5" s="250" t="s">
        <v>203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1:13" s="119" customFormat="1" ht="27.75" customHeight="1">
      <c r="A6" s="250" t="s">
        <v>204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</row>
    <row r="7" spans="1:13" s="119" customFormat="1" ht="31.5" customHeight="1">
      <c r="A7" s="251" t="s">
        <v>178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</row>
    <row r="8" spans="1:13" s="119" customFormat="1" ht="29.25" customHeight="1">
      <c r="A8" s="251" t="s">
        <v>179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</row>
    <row r="9" spans="1:13" s="119" customFormat="1" ht="42.75" customHeight="1">
      <c r="A9" s="249" t="s">
        <v>205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s="119" customFormat="1" ht="39" customHeight="1">
      <c r="A10" s="249" t="s">
        <v>206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23.25" customHeight="1"/>
  </sheetData>
  <mergeCells count="8">
    <mergeCell ref="A9:M9"/>
    <mergeCell ref="A10:M10"/>
    <mergeCell ref="A3:M3"/>
    <mergeCell ref="A4:M4"/>
    <mergeCell ref="A5:M5"/>
    <mergeCell ref="A6:M6"/>
    <mergeCell ref="A7:M7"/>
    <mergeCell ref="A8:M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2021_11 мес_Доходы_Расходы</vt:lpstr>
      <vt:lpstr>2024_Доходы</vt:lpstr>
      <vt:lpstr>2024_Расходы</vt:lpstr>
      <vt:lpstr>ФЭО ЧлВзн_2024</vt:lpstr>
      <vt:lpstr>Расчет ФОТ_2024</vt:lpstr>
      <vt:lpstr>ШР_2024</vt:lpstr>
      <vt:lpstr>Примечания к ШР_2024</vt:lpstr>
      <vt:lpstr>'2021_11 мес_Доходы_Расходы'!_GoBack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2023-05-22T04:14:58Z</dcterms:modified>
</cp:coreProperties>
</file>